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/>
  </bookViews>
  <sheets>
    <sheet name="13.05.2025 изм. ст-сти объектов" sheetId="2" r:id="rId1"/>
  </sheets>
  <externalReferences>
    <externalReference r:id="rId2"/>
  </externalReferences>
  <definedNames>
    <definedName name="Z_D9A49370_59EF_4DF5_B20D_A46D1CBDF607_.wvu.PrintTitles" localSheetId="0">'13.05.2025 изм. ст-сти объектов'!$5:$8</definedName>
    <definedName name="Z_D9A49370_59EF_4DF5_B20D_A46D1CBDF607_.wvu.Rows" localSheetId="0">'[1]04.12'!#REF!</definedName>
    <definedName name="_xlnm.Print_Titles" localSheetId="0">'13.05.2025 изм. ст-сти объектов'!$5:$9</definedName>
    <definedName name="_xlnm.Print_Area" localSheetId="0">'13.05.2025 изм. ст-сти объектов'!$A$1:$AJ$198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E22" i="2"/>
  <c r="AK142"/>
  <c r="AK137"/>
  <c r="AK132"/>
  <c r="AK127"/>
  <c r="AK120"/>
  <c r="AK114"/>
  <c r="AK109"/>
  <c r="AK99"/>
  <c r="AK95"/>
  <c r="AK89"/>
  <c r="AK82"/>
  <c r="AK77"/>
  <c r="AK68"/>
  <c r="AK58"/>
  <c r="AK54"/>
  <c r="AM20"/>
  <c r="G93"/>
  <c r="G52"/>
  <c r="AB30"/>
  <c r="AB22" s="1"/>
  <c r="AI140"/>
  <c r="G131"/>
  <c r="G124"/>
  <c r="G119"/>
  <c r="G118"/>
  <c r="G113"/>
  <c r="AH107"/>
  <c r="G104"/>
  <c r="G94"/>
  <c r="AH80"/>
  <c r="AI80" s="1"/>
  <c r="G75"/>
  <c r="G67"/>
  <c r="G57"/>
  <c r="G53"/>
  <c r="AC22"/>
  <c r="Z20"/>
  <c r="Z22"/>
  <c r="T20"/>
  <c r="AI36"/>
  <c r="AC137"/>
  <c r="AD135"/>
  <c r="AB135"/>
  <c r="AB137" s="1"/>
  <c r="AI107" l="1"/>
  <c r="E53"/>
  <c r="E104"/>
  <c r="AH98"/>
  <c r="AI98" s="1"/>
  <c r="AA173"/>
  <c r="G173"/>
  <c r="G165"/>
  <c r="G164"/>
  <c r="AF119"/>
  <c r="AF98"/>
  <c r="AF99" s="1"/>
  <c r="G36"/>
  <c r="E36"/>
  <c r="AJ36"/>
  <c r="G120" l="1"/>
  <c r="AH119"/>
  <c r="AI119" s="1"/>
  <c r="AH99"/>
  <c r="AJ98"/>
  <c r="AJ99" s="1"/>
  <c r="AC37"/>
  <c r="AC39" s="1"/>
  <c r="AD36"/>
  <c r="AB42"/>
  <c r="AD42" s="1"/>
  <c r="AD44" s="1"/>
  <c r="AB35"/>
  <c r="AD35" s="1"/>
  <c r="Z35"/>
  <c r="V197"/>
  <c r="G197" s="1"/>
  <c r="U197"/>
  <c r="X195"/>
  <c r="G195"/>
  <c r="AH193"/>
  <c r="AJ193" s="1"/>
  <c r="AG193"/>
  <c r="AH192"/>
  <c r="AJ192" s="1"/>
  <c r="AG192"/>
  <c r="X191"/>
  <c r="G191"/>
  <c r="V190"/>
  <c r="X190" s="1"/>
  <c r="X189"/>
  <c r="G189"/>
  <c r="X188"/>
  <c r="G188"/>
  <c r="Y187"/>
  <c r="Y154" s="1"/>
  <c r="Y156" s="1"/>
  <c r="G187"/>
  <c r="AB185"/>
  <c r="AD185" s="1"/>
  <c r="AE183"/>
  <c r="AE155" s="1"/>
  <c r="AD183"/>
  <c r="AD155" s="1"/>
  <c r="AB181"/>
  <c r="AD181" s="1"/>
  <c r="G181"/>
  <c r="V180"/>
  <c r="X180" s="1"/>
  <c r="U180"/>
  <c r="G178"/>
  <c r="AB178" s="1"/>
  <c r="AD178" s="1"/>
  <c r="AD176"/>
  <c r="AB176"/>
  <c r="AD173"/>
  <c r="X173"/>
  <c r="X152" s="1"/>
  <c r="AB171"/>
  <c r="AD171" s="1"/>
  <c r="AA171"/>
  <c r="AA169"/>
  <c r="G169"/>
  <c r="AB169" s="1"/>
  <c r="AD169" s="1"/>
  <c r="X168"/>
  <c r="V168"/>
  <c r="U168"/>
  <c r="U150" s="1"/>
  <c r="U153" s="1"/>
  <c r="V167"/>
  <c r="U167"/>
  <c r="U155" s="1"/>
  <c r="AA165"/>
  <c r="AB165"/>
  <c r="AD165" s="1"/>
  <c r="AD164"/>
  <c r="AA164"/>
  <c r="AA152" s="1"/>
  <c r="X164"/>
  <c r="AH162"/>
  <c r="AJ162" s="1"/>
  <c r="AG162"/>
  <c r="AH161"/>
  <c r="AJ161" s="1"/>
  <c r="AG161"/>
  <c r="AE158"/>
  <c r="AD158" s="1"/>
  <c r="AA158"/>
  <c r="AA154" s="1"/>
  <c r="AL156"/>
  <c r="AB155"/>
  <c r="AA155"/>
  <c r="Y155"/>
  <c r="X155"/>
  <c r="F155"/>
  <c r="AB154"/>
  <c r="AB156" s="1"/>
  <c r="X154"/>
  <c r="U154"/>
  <c r="F154"/>
  <c r="AL153"/>
  <c r="V152"/>
  <c r="G152"/>
  <c r="F152"/>
  <c r="AJ151"/>
  <c r="G151"/>
  <c r="F151"/>
  <c r="V150"/>
  <c r="V153" s="1"/>
  <c r="S150"/>
  <c r="R150"/>
  <c r="Q150"/>
  <c r="P150"/>
  <c r="O150"/>
  <c r="N150"/>
  <c r="M150"/>
  <c r="L150"/>
  <c r="K150"/>
  <c r="J150"/>
  <c r="I150"/>
  <c r="H150"/>
  <c r="F150"/>
  <c r="Y148"/>
  <c r="S148"/>
  <c r="R148"/>
  <c r="Q148"/>
  <c r="P148"/>
  <c r="O148"/>
  <c r="N148"/>
  <c r="M148"/>
  <c r="L148"/>
  <c r="K148"/>
  <c r="J148"/>
  <c r="I148"/>
  <c r="H148"/>
  <c r="F148"/>
  <c r="W146"/>
  <c r="X145"/>
  <c r="V145"/>
  <c r="T145"/>
  <c r="G145"/>
  <c r="E145"/>
  <c r="AC142"/>
  <c r="AB142"/>
  <c r="Z142"/>
  <c r="W142"/>
  <c r="R142"/>
  <c r="Q142"/>
  <c r="P142"/>
  <c r="N142"/>
  <c r="M142"/>
  <c r="L142"/>
  <c r="J142"/>
  <c r="I142"/>
  <c r="H142"/>
  <c r="AD141"/>
  <c r="AD142" s="1"/>
  <c r="X141"/>
  <c r="G141"/>
  <c r="G142" s="1"/>
  <c r="E141"/>
  <c r="E142" s="1"/>
  <c r="AF140"/>
  <c r="AF142" s="1"/>
  <c r="V139"/>
  <c r="V142" s="1"/>
  <c r="T139"/>
  <c r="T142" s="1"/>
  <c r="Z137"/>
  <c r="S137"/>
  <c r="R137"/>
  <c r="Q137"/>
  <c r="P137"/>
  <c r="O137"/>
  <c r="N137"/>
  <c r="M137"/>
  <c r="L137"/>
  <c r="J137"/>
  <c r="I137"/>
  <c r="H137"/>
  <c r="AD136"/>
  <c r="AD137" s="1"/>
  <c r="X136"/>
  <c r="G136"/>
  <c r="G137" s="1"/>
  <c r="E136"/>
  <c r="E137" s="1"/>
  <c r="AH137"/>
  <c r="AF137"/>
  <c r="V134"/>
  <c r="V137" s="1"/>
  <c r="T134"/>
  <c r="T137" s="1"/>
  <c r="G132"/>
  <c r="E132"/>
  <c r="AH131"/>
  <c r="AF131"/>
  <c r="AF132" s="1"/>
  <c r="AB130"/>
  <c r="Z130"/>
  <c r="AB129"/>
  <c r="AD129" s="1"/>
  <c r="Z129"/>
  <c r="S127"/>
  <c r="R127"/>
  <c r="Q127"/>
  <c r="P127"/>
  <c r="O127"/>
  <c r="N127"/>
  <c r="M127"/>
  <c r="L127"/>
  <c r="J127"/>
  <c r="I127"/>
  <c r="H127"/>
  <c r="AD126"/>
  <c r="X126"/>
  <c r="G126"/>
  <c r="E126"/>
  <c r="Z125"/>
  <c r="Z127" s="1"/>
  <c r="W125"/>
  <c r="W127" s="1"/>
  <c r="G125"/>
  <c r="G127" s="1"/>
  <c r="AH124"/>
  <c r="AF124"/>
  <c r="AF125" s="1"/>
  <c r="AF127" s="1"/>
  <c r="AB123"/>
  <c r="AC125" s="1"/>
  <c r="AC127" s="1"/>
  <c r="V122"/>
  <c r="V125" s="1"/>
  <c r="T122"/>
  <c r="T125" s="1"/>
  <c r="T127" s="1"/>
  <c r="E122"/>
  <c r="E125" s="1"/>
  <c r="E127" s="1"/>
  <c r="AF118"/>
  <c r="AF120" s="1"/>
  <c r="AB117"/>
  <c r="AD117" s="1"/>
  <c r="E117"/>
  <c r="Z117" s="1"/>
  <c r="AC120"/>
  <c r="AB116"/>
  <c r="AB120" s="1"/>
  <c r="E116"/>
  <c r="E120" s="1"/>
  <c r="U114"/>
  <c r="R114"/>
  <c r="Q114"/>
  <c r="P114"/>
  <c r="N114"/>
  <c r="M114"/>
  <c r="L114"/>
  <c r="J114"/>
  <c r="I114"/>
  <c r="H114"/>
  <c r="E114"/>
  <c r="AF113"/>
  <c r="AF114" s="1"/>
  <c r="AH113"/>
  <c r="AI113" s="1"/>
  <c r="AC114"/>
  <c r="AB112"/>
  <c r="AB114" s="1"/>
  <c r="Z112"/>
  <c r="Z114" s="1"/>
  <c r="V111"/>
  <c r="V114" s="1"/>
  <c r="T111"/>
  <c r="T114" s="1"/>
  <c r="AH109"/>
  <c r="AF109"/>
  <c r="AB109"/>
  <c r="Z109"/>
  <c r="AJ107"/>
  <c r="AJ109" s="1"/>
  <c r="AI109"/>
  <c r="AC109"/>
  <c r="G107"/>
  <c r="G109" s="1"/>
  <c r="E107"/>
  <c r="E109" s="1"/>
  <c r="AB105"/>
  <c r="V105"/>
  <c r="E105"/>
  <c r="AH104"/>
  <c r="AI104" s="1"/>
  <c r="AF104"/>
  <c r="AF103"/>
  <c r="AD103"/>
  <c r="AD102"/>
  <c r="AC105"/>
  <c r="Z102"/>
  <c r="Z101"/>
  <c r="X101"/>
  <c r="X105" s="1"/>
  <c r="G101"/>
  <c r="G105" s="1"/>
  <c r="Z99"/>
  <c r="R99"/>
  <c r="Q99"/>
  <c r="P99"/>
  <c r="O99"/>
  <c r="N99"/>
  <c r="M99"/>
  <c r="L99"/>
  <c r="J99"/>
  <c r="I99"/>
  <c r="H99"/>
  <c r="G99"/>
  <c r="E99"/>
  <c r="AD97"/>
  <c r="AD99" s="1"/>
  <c r="AC99"/>
  <c r="AB97"/>
  <c r="AB99" s="1"/>
  <c r="AC95"/>
  <c r="Z95"/>
  <c r="E95"/>
  <c r="AH94"/>
  <c r="AI94" s="1"/>
  <c r="AF94"/>
  <c r="AF93"/>
  <c r="AH93"/>
  <c r="AI93" s="1"/>
  <c r="AD92"/>
  <c r="AD95" s="1"/>
  <c r="AB92"/>
  <c r="AB95" s="1"/>
  <c r="V91"/>
  <c r="X91" s="1"/>
  <c r="X95" s="1"/>
  <c r="T91"/>
  <c r="T95" s="1"/>
  <c r="V89"/>
  <c r="T89"/>
  <c r="AD88"/>
  <c r="X88"/>
  <c r="X89" s="1"/>
  <c r="G88"/>
  <c r="E88"/>
  <c r="Z87"/>
  <c r="Z89" s="1"/>
  <c r="G87"/>
  <c r="E87"/>
  <c r="AF86"/>
  <c r="AF87" s="1"/>
  <c r="AF89" s="1"/>
  <c r="AH86"/>
  <c r="AI86" s="1"/>
  <c r="AI85"/>
  <c r="AJ85" s="1"/>
  <c r="AB84"/>
  <c r="AB87" s="1"/>
  <c r="AB89" s="1"/>
  <c r="AB82"/>
  <c r="Z82"/>
  <c r="R82"/>
  <c r="Q82"/>
  <c r="P82"/>
  <c r="O82"/>
  <c r="N82"/>
  <c r="M82"/>
  <c r="L82"/>
  <c r="J82"/>
  <c r="I82"/>
  <c r="H82"/>
  <c r="AI81"/>
  <c r="AH81"/>
  <c r="AF81"/>
  <c r="AF82" s="1"/>
  <c r="AD80"/>
  <c r="AD82" s="1"/>
  <c r="E80"/>
  <c r="E82" s="1"/>
  <c r="V79"/>
  <c r="X79" s="1"/>
  <c r="X82" s="1"/>
  <c r="T79"/>
  <c r="T82" s="1"/>
  <c r="V77"/>
  <c r="T77"/>
  <c r="R77"/>
  <c r="Q77"/>
  <c r="P77"/>
  <c r="O77"/>
  <c r="N77"/>
  <c r="M77"/>
  <c r="L77"/>
  <c r="J77"/>
  <c r="I77"/>
  <c r="H77"/>
  <c r="AD76"/>
  <c r="X76"/>
  <c r="X77" s="1"/>
  <c r="G76"/>
  <c r="G77" s="1"/>
  <c r="E76"/>
  <c r="E77" s="1"/>
  <c r="AH75"/>
  <c r="AF75"/>
  <c r="AF77" s="1"/>
  <c r="AB74"/>
  <c r="AC77" s="1"/>
  <c r="Z74"/>
  <c r="Z77" s="1"/>
  <c r="X72"/>
  <c r="W72"/>
  <c r="V72"/>
  <c r="T72"/>
  <c r="S72"/>
  <c r="S20" s="1"/>
  <c r="R72"/>
  <c r="Q72"/>
  <c r="P72"/>
  <c r="O72"/>
  <c r="N72"/>
  <c r="M72"/>
  <c r="L72"/>
  <c r="J72"/>
  <c r="I72"/>
  <c r="H72"/>
  <c r="G72"/>
  <c r="E72"/>
  <c r="S68"/>
  <c r="R68"/>
  <c r="Q68"/>
  <c r="P68"/>
  <c r="O68"/>
  <c r="N68"/>
  <c r="M68"/>
  <c r="L68"/>
  <c r="J68"/>
  <c r="I68"/>
  <c r="H68"/>
  <c r="G68"/>
  <c r="AF67"/>
  <c r="AF68" s="1"/>
  <c r="AH67"/>
  <c r="AI67" s="1"/>
  <c r="AB66"/>
  <c r="Z66"/>
  <c r="AB65"/>
  <c r="E65"/>
  <c r="Z65" s="1"/>
  <c r="Z68" s="1"/>
  <c r="V61"/>
  <c r="V68" s="1"/>
  <c r="T61"/>
  <c r="T68" s="1"/>
  <c r="AC58"/>
  <c r="Z58"/>
  <c r="R58"/>
  <c r="Q58"/>
  <c r="P58"/>
  <c r="N58"/>
  <c r="M58"/>
  <c r="L58"/>
  <c r="J58"/>
  <c r="I58"/>
  <c r="H58"/>
  <c r="E58"/>
  <c r="AF57"/>
  <c r="AF58" s="1"/>
  <c r="G58"/>
  <c r="AD56"/>
  <c r="AD58" s="1"/>
  <c r="AB56"/>
  <c r="AB58" s="1"/>
  <c r="R54"/>
  <c r="Q54"/>
  <c r="P54"/>
  <c r="L54"/>
  <c r="J54"/>
  <c r="J20" s="1"/>
  <c r="I54"/>
  <c r="H54"/>
  <c r="AH53"/>
  <c r="AI53" s="1"/>
  <c r="AF53"/>
  <c r="AF52"/>
  <c r="AH52"/>
  <c r="AI52" s="1"/>
  <c r="AB51"/>
  <c r="AD51" s="1"/>
  <c r="Z51"/>
  <c r="AB50"/>
  <c r="AC54" s="1"/>
  <c r="Z50"/>
  <c r="E50"/>
  <c r="E54" s="1"/>
  <c r="R46"/>
  <c r="Q46"/>
  <c r="P46"/>
  <c r="O46"/>
  <c r="N46"/>
  <c r="M46"/>
  <c r="L46"/>
  <c r="J46"/>
  <c r="I46"/>
  <c r="H46"/>
  <c r="AD45"/>
  <c r="X45"/>
  <c r="G45"/>
  <c r="E45"/>
  <c r="W44"/>
  <c r="W46" s="1"/>
  <c r="AF43"/>
  <c r="AF44" s="1"/>
  <c r="AF46" s="1"/>
  <c r="AF20" s="1"/>
  <c r="AH43"/>
  <c r="AI43" s="1"/>
  <c r="AI44" s="1"/>
  <c r="AC44"/>
  <c r="AC46" s="1"/>
  <c r="Z42"/>
  <c r="Z44" s="1"/>
  <c r="Z46" s="1"/>
  <c r="E42"/>
  <c r="V41"/>
  <c r="X41" s="1"/>
  <c r="X44" s="1"/>
  <c r="E41"/>
  <c r="E44" s="1"/>
  <c r="W39"/>
  <c r="AD38"/>
  <c r="X38"/>
  <c r="V38"/>
  <c r="G38" s="1"/>
  <c r="E38"/>
  <c r="T37"/>
  <c r="T39" s="1"/>
  <c r="R37"/>
  <c r="Q37"/>
  <c r="P37"/>
  <c r="N37"/>
  <c r="M37"/>
  <c r="L37"/>
  <c r="AD34"/>
  <c r="X34"/>
  <c r="G34"/>
  <c r="E34"/>
  <c r="Z34" s="1"/>
  <c r="AH33"/>
  <c r="AI33" s="1"/>
  <c r="AF33"/>
  <c r="AF32"/>
  <c r="AH32"/>
  <c r="AI32" s="1"/>
  <c r="AH31"/>
  <c r="AF31"/>
  <c r="Z30"/>
  <c r="AD29"/>
  <c r="E29"/>
  <c r="Z29" s="1"/>
  <c r="AD28"/>
  <c r="V28"/>
  <c r="G28" s="1"/>
  <c r="E28"/>
  <c r="Z28" s="1"/>
  <c r="E26"/>
  <c r="AF25"/>
  <c r="AF26" s="1"/>
  <c r="AH25"/>
  <c r="AI25" s="1"/>
  <c r="AB23"/>
  <c r="Z23"/>
  <c r="T23"/>
  <c r="K20"/>
  <c r="AD16"/>
  <c r="AD12" s="1"/>
  <c r="AB16"/>
  <c r="Z16"/>
  <c r="Z12" s="1"/>
  <c r="V14"/>
  <c r="X14" s="1"/>
  <c r="X12" s="1"/>
  <c r="T14"/>
  <c r="T12" s="1"/>
  <c r="AB12"/>
  <c r="G12"/>
  <c r="E12"/>
  <c r="AC20" l="1"/>
  <c r="V12"/>
  <c r="G37"/>
  <c r="G22" s="1"/>
  <c r="AH125"/>
  <c r="AH127" s="1"/>
  <c r="AI124"/>
  <c r="AA156"/>
  <c r="G190"/>
  <c r="AH77"/>
  <c r="AI75"/>
  <c r="AJ31"/>
  <c r="AI31"/>
  <c r="AL23"/>
  <c r="E68"/>
  <c r="P20"/>
  <c r="AB68"/>
  <c r="G89"/>
  <c r="AI131"/>
  <c r="AI132" s="1"/>
  <c r="AF37"/>
  <c r="AF39" s="1"/>
  <c r="E89"/>
  <c r="AD112"/>
  <c r="AD114" s="1"/>
  <c r="M20"/>
  <c r="X156"/>
  <c r="AJ94"/>
  <c r="AD46"/>
  <c r="L20"/>
  <c r="G23"/>
  <c r="AF54"/>
  <c r="I20"/>
  <c r="V82"/>
  <c r="AD23"/>
  <c r="Z105"/>
  <c r="AB44"/>
  <c r="AB46" s="1"/>
  <c r="W20"/>
  <c r="V37"/>
  <c r="V39" s="1"/>
  <c r="X46"/>
  <c r="G80"/>
  <c r="G82" s="1"/>
  <c r="W22"/>
  <c r="V154"/>
  <c r="X148"/>
  <c r="U148"/>
  <c r="O20"/>
  <c r="N20"/>
  <c r="AB77"/>
  <c r="AF95"/>
  <c r="V23"/>
  <c r="AK23" s="1"/>
  <c r="X28"/>
  <c r="X37" s="1"/>
  <c r="X39" s="1"/>
  <c r="T41"/>
  <c r="T44" s="1"/>
  <c r="T46" s="1"/>
  <c r="V44"/>
  <c r="V46" s="1"/>
  <c r="R20"/>
  <c r="X139"/>
  <c r="X142" s="1"/>
  <c r="U156"/>
  <c r="AJ81"/>
  <c r="X23"/>
  <c r="X150"/>
  <c r="X153" s="1"/>
  <c r="Z54"/>
  <c r="E46"/>
  <c r="AH57"/>
  <c r="X61"/>
  <c r="X68" s="1"/>
  <c r="H20"/>
  <c r="Q20"/>
  <c r="E23"/>
  <c r="AD116"/>
  <c r="AD120" s="1"/>
  <c r="X122"/>
  <c r="X125" s="1"/>
  <c r="X127" s="1"/>
  <c r="AI137"/>
  <c r="F156"/>
  <c r="V155"/>
  <c r="AK155" s="1"/>
  <c r="AJ33"/>
  <c r="AH37"/>
  <c r="AF105"/>
  <c r="AJ53"/>
  <c r="AI77"/>
  <c r="AA150"/>
  <c r="AA153" s="1"/>
  <c r="AJ152"/>
  <c r="F153"/>
  <c r="AB150"/>
  <c r="AH132"/>
  <c r="Z132"/>
  <c r="AH118"/>
  <c r="AB37"/>
  <c r="AB39" s="1"/>
  <c r="AB20" s="1"/>
  <c r="AB132"/>
  <c r="AC132"/>
  <c r="AD66"/>
  <c r="AI26"/>
  <c r="AH26"/>
  <c r="V127"/>
  <c r="AD150"/>
  <c r="AH44"/>
  <c r="AH46" s="1"/>
  <c r="AK46" s="1"/>
  <c r="AI46"/>
  <c r="AC68"/>
  <c r="AD65"/>
  <c r="AI95"/>
  <c r="AH95"/>
  <c r="AD154"/>
  <c r="AD156" s="1"/>
  <c r="AD148"/>
  <c r="AJ86"/>
  <c r="AJ87" s="1"/>
  <c r="AJ89" s="1"/>
  <c r="AI82"/>
  <c r="AJ80"/>
  <c r="AJ82" s="1"/>
  <c r="AI114"/>
  <c r="AH114"/>
  <c r="AJ148"/>
  <c r="AJ153"/>
  <c r="V156"/>
  <c r="AK156" s="1"/>
  <c r="AK154"/>
  <c r="AH68"/>
  <c r="AI68"/>
  <c r="AI87"/>
  <c r="AI89" s="1"/>
  <c r="AH87"/>
  <c r="AH89" s="1"/>
  <c r="AH54"/>
  <c r="G44"/>
  <c r="G46" s="1"/>
  <c r="G26"/>
  <c r="G114"/>
  <c r="AE148"/>
  <c r="AD152"/>
  <c r="AE154"/>
  <c r="AE156" s="1"/>
  <c r="AB54"/>
  <c r="V95"/>
  <c r="Z116"/>
  <c r="Z120" s="1"/>
  <c r="X134"/>
  <c r="X137" s="1"/>
  <c r="AB152"/>
  <c r="T22"/>
  <c r="V148"/>
  <c r="AH82"/>
  <c r="V146"/>
  <c r="G146" s="1"/>
  <c r="AD50"/>
  <c r="AD54" s="1"/>
  <c r="G54"/>
  <c r="AD74"/>
  <c r="AD77" s="1"/>
  <c r="AC82"/>
  <c r="AD84"/>
  <c r="AD87" s="1"/>
  <c r="AD89" s="1"/>
  <c r="AI99"/>
  <c r="AH103"/>
  <c r="AI103" s="1"/>
  <c r="AD130"/>
  <c r="AD132" s="1"/>
  <c r="AB148"/>
  <c r="G167"/>
  <c r="G148" s="1"/>
  <c r="AB125"/>
  <c r="AB127" s="1"/>
  <c r="AD30"/>
  <c r="AC87"/>
  <c r="AC89" s="1"/>
  <c r="G95"/>
  <c r="AD101"/>
  <c r="AD105" s="1"/>
  <c r="AJ104"/>
  <c r="AD107"/>
  <c r="AD109" s="1"/>
  <c r="X111"/>
  <c r="X114" s="1"/>
  <c r="AD123"/>
  <c r="AD125" s="1"/>
  <c r="AD127" s="1"/>
  <c r="AH140"/>
  <c r="AA148"/>
  <c r="G150"/>
  <c r="G153" s="1"/>
  <c r="AD37" l="1"/>
  <c r="AD39" s="1"/>
  <c r="AD20" s="1"/>
  <c r="AD22"/>
  <c r="G39"/>
  <c r="G20"/>
  <c r="AH39"/>
  <c r="AK39" s="1"/>
  <c r="AI37"/>
  <c r="AI39" s="1"/>
  <c r="AF22"/>
  <c r="AJ131"/>
  <c r="AJ132" s="1"/>
  <c r="AI57"/>
  <c r="AI58" s="1"/>
  <c r="AJ124"/>
  <c r="AJ125" s="1"/>
  <c r="AJ127" s="1"/>
  <c r="AI125"/>
  <c r="AI127" s="1"/>
  <c r="AH120"/>
  <c r="AI118"/>
  <c r="AI120" s="1"/>
  <c r="AJ67"/>
  <c r="AJ68" s="1"/>
  <c r="AH58"/>
  <c r="V20"/>
  <c r="AJ137"/>
  <c r="X22"/>
  <c r="AD153"/>
  <c r="AJ150"/>
  <c r="X20"/>
  <c r="AJ119"/>
  <c r="AJ32"/>
  <c r="AJ93"/>
  <c r="AJ95" s="1"/>
  <c r="AI54"/>
  <c r="AJ75"/>
  <c r="AJ77" s="1"/>
  <c r="AB153"/>
  <c r="AD68"/>
  <c r="AJ113"/>
  <c r="AJ114" s="1"/>
  <c r="AJ25"/>
  <c r="AJ26" s="1"/>
  <c r="AH105"/>
  <c r="AK105" s="1"/>
  <c r="AI105"/>
  <c r="AJ43"/>
  <c r="AJ44" s="1"/>
  <c r="AJ46" s="1"/>
  <c r="V22"/>
  <c r="AK150"/>
  <c r="AL150" s="1"/>
  <c r="AJ52"/>
  <c r="AJ54" s="1"/>
  <c r="AI142"/>
  <c r="AH142"/>
  <c r="G155"/>
  <c r="AL155" s="1"/>
  <c r="AL154" s="1"/>
  <c r="AL152" s="1"/>
  <c r="G154"/>
  <c r="AH20" l="1"/>
  <c r="AK20" s="1"/>
  <c r="AL16" s="1"/>
  <c r="AJ57"/>
  <c r="AJ58" s="1"/>
  <c r="AI20"/>
  <c r="AI22" s="1"/>
  <c r="AJ118"/>
  <c r="AJ120" s="1"/>
  <c r="AJ37"/>
  <c r="AJ39" s="1"/>
  <c r="G156"/>
  <c r="AJ140"/>
  <c r="AJ142" s="1"/>
  <c r="AJ103"/>
  <c r="AJ105" s="1"/>
  <c r="AJ20" l="1"/>
  <c r="AJ22" s="1"/>
  <c r="AH22"/>
  <c r="AK22" s="1"/>
  <c r="AM22" s="1"/>
  <c r="AL20"/>
  <c r="AL22" l="1"/>
  <c r="E37"/>
  <c r="Z37"/>
  <c r="Z39" s="1"/>
  <c r="E39" l="1"/>
  <c r="E20"/>
</calcChain>
</file>

<file path=xl/sharedStrings.xml><?xml version="1.0" encoding="utf-8"?>
<sst xmlns="http://schemas.openxmlformats.org/spreadsheetml/2006/main" count="348" uniqueCount="197">
  <si>
    <t>Перечень объектов по ремонту  автомобильных дорог и искусственных сооружений на них на 2024 - 2026 годы в рамках регионального проекта «Региональная и местная дорожная сеть»</t>
  </si>
  <si>
    <t>№ п/п</t>
  </si>
  <si>
    <t>Наименование объекта</t>
  </si>
  <si>
    <t>Катего-рия</t>
  </si>
  <si>
    <t>Параметры сооружения</t>
  </si>
  <si>
    <t>ВСЕГО</t>
  </si>
  <si>
    <t>2019 год</t>
  </si>
  <si>
    <t>2020 год</t>
  </si>
  <si>
    <t>2021 год</t>
  </si>
  <si>
    <t>Объём финансирования по годам</t>
  </si>
  <si>
    <t>км</t>
  </si>
  <si>
    <t>Стоимость, тыс. рублей</t>
  </si>
  <si>
    <t>2024 год</t>
  </si>
  <si>
    <t>2025 год</t>
  </si>
  <si>
    <t>2026 год</t>
  </si>
  <si>
    <t>Протяженность</t>
  </si>
  <si>
    <t xml:space="preserve">  Стоимость, тыс. рублей</t>
  </si>
  <si>
    <t>Всего</t>
  </si>
  <si>
    <t>в том числе</t>
  </si>
  <si>
    <t>пог. м</t>
  </si>
  <si>
    <t>областной бюджет</t>
  </si>
  <si>
    <t>федераль-ный бюджет</t>
  </si>
  <si>
    <t>федеральный бюджет</t>
  </si>
  <si>
    <t xml:space="preserve">Региональный проект «Региональная и местная дорожная сеть», входящий в национальный проект </t>
  </si>
  <si>
    <t>I</t>
  </si>
  <si>
    <t>Приведены в нормативное состояние / построены искусственные сооружения на автомобильных дорогах регионального или межмуниципального и местного значения</t>
  </si>
  <si>
    <t>Капитально отремонтировано автодорог</t>
  </si>
  <si>
    <t>Алексеевский муниципальный округ</t>
  </si>
  <si>
    <t>Иващенково - Березки, км 0+000 - км 2+500</t>
  </si>
  <si>
    <t>IV</t>
  </si>
  <si>
    <t>Красногвардейский район</t>
  </si>
  <si>
    <t xml:space="preserve">«Бирюч - Калиново - Никитовка» - Арнаутово, км 0+000 -  км 2+800 </t>
  </si>
  <si>
    <t>V</t>
  </si>
  <si>
    <t xml:space="preserve">Чернянский район </t>
  </si>
  <si>
    <t>Владимировка - Новоалександровка - Ларисовка, км 0+000 - км 2+300</t>
  </si>
  <si>
    <t>Отремонтировано автомобильных дорог</t>
  </si>
  <si>
    <t xml:space="preserve">ВСЕГО  по автодорогам, </t>
  </si>
  <si>
    <t xml:space="preserve"> - регионального значения </t>
  </si>
  <si>
    <t xml:space="preserve"> - местного значения</t>
  </si>
  <si>
    <t>ИТОГО по Алексеевскому муниципальному округу</t>
  </si>
  <si>
    <t>Белгородский район</t>
  </si>
  <si>
    <t xml:space="preserve">Разумное - Севрюково - Новосадовый,               км 8+245 - км 14+635 </t>
  </si>
  <si>
    <t>II</t>
  </si>
  <si>
    <t>«Крым» - Комсомольский - Красиво,                 км 0+020 - км 2+975; км 6+670 - км 9+020</t>
  </si>
  <si>
    <t>Стрелецкое - Раково,  км 0+000 -  км 5+050</t>
  </si>
  <si>
    <t xml:space="preserve"> </t>
  </si>
  <si>
    <t>III</t>
  </si>
  <si>
    <t>Долбино - Угрим, км 0+000 - км 2+900</t>
  </si>
  <si>
    <t xml:space="preserve">  </t>
  </si>
  <si>
    <t>Белгород - Шебекино - Волоконовка,               км 6+800  - км 8+280</t>
  </si>
  <si>
    <t>Подъезд к селу Нижний Ольшанец,                   км 0+745 - км 3+650</t>
  </si>
  <si>
    <t xml:space="preserve">Автодороги регионального значения </t>
  </si>
  <si>
    <t>Автодороги местного значения</t>
  </si>
  <si>
    <t>ИТОГО по Белгородскому району</t>
  </si>
  <si>
    <t>Борисовский район</t>
  </si>
  <si>
    <t>«Белгород - Грайворон» - Козинка,                      км 37+000 - км 42+630</t>
  </si>
  <si>
    <t>Борисовка - Пролетарский - Октябрьская Готня - станция Кулиновка - Красный Куток, км 0+015 - км 4+000</t>
  </si>
  <si>
    <t>ИТОГО по Борисовскому району</t>
  </si>
  <si>
    <t>Валуйский муниципальный округ</t>
  </si>
  <si>
    <t>«Валуйки - Казинка - Вериговка» - Бирюч, 
км 0+000 - км 0+620</t>
  </si>
  <si>
    <t>«Валуйки - Казинка - Вериговка»,                                        км 26+800 - км 32+550</t>
  </si>
  <si>
    <t>«Новый Оскол - Валуйки - Ровеньки» - Принцевка, км 0+032 - км 0+900</t>
  </si>
  <si>
    <t xml:space="preserve">    </t>
  </si>
  <si>
    <t>«Валуйки - Казинка - Вериговка» - Конопляновка» - Гладково,                                км 0+000 - км 4+764</t>
  </si>
  <si>
    <t xml:space="preserve">     </t>
  </si>
  <si>
    <t xml:space="preserve">«Валуйки - Казинка - Вериговка» - Дубровка,    км 0+000 - км 1+600 </t>
  </si>
  <si>
    <t>ИТОГО по Валуйскому муниципальному округу</t>
  </si>
  <si>
    <t>Вейделевский район</t>
  </si>
  <si>
    <t>«Новый Оскол - Валуйки - Ровеньки» - Колесников, км 0+000 - км 3+000</t>
  </si>
  <si>
    <t>IV/V</t>
  </si>
  <si>
    <t xml:space="preserve">Долгое - Россошь - Потоловка,                          км 0+000 - км 7+000 </t>
  </si>
  <si>
    <t>ИТОГО по Вейделевскому району</t>
  </si>
  <si>
    <t>Волоконовский район</t>
  </si>
  <si>
    <t>Подъезд к селу Грушевка,                                             км 0+000 - км 3+600</t>
  </si>
  <si>
    <t>Подъезд к с. Грушевка</t>
  </si>
  <si>
    <t>Ульяновка - Голофеевка,                                км 0+000 - км 6+600</t>
  </si>
  <si>
    <t>Волоконовка - Ливенка - Никитовка - Покровка - Шеншиновка,                                 км 0+000 - км 14+000</t>
  </si>
  <si>
    <t>Новый Оскол - Валуйки - Ровеньки,             км 28+800 - км 31+000, км 31+150 -               км 32+600, км 34+900 - км 40+100</t>
  </si>
  <si>
    <t xml:space="preserve"> «Волоконовка - Ливенка - Никитовка» - Пыточный - Покровка - Шеншиновка,               км 6+850 - км 14+000</t>
  </si>
  <si>
    <t xml:space="preserve"> «Волоконовка - Ливенка - Никитовка» - Пыточный - Покровка - Шеншиновка,               км 0+000-км 6+850                                                                   </t>
  </si>
  <si>
    <t>Обход п. Пятницкое, км 0+000 - км 5+000</t>
  </si>
  <si>
    <t>ИТОГО по Волоконовскому району</t>
  </si>
  <si>
    <t>Грайворонский городской округ</t>
  </si>
  <si>
    <t>«Головчино - Доброполье» - Горьковский,              км 0+000 - км 1+700</t>
  </si>
  <si>
    <t>ИТОГО по Грайворонскому городскому округу</t>
  </si>
  <si>
    <t>Губкинский городской округ</t>
  </si>
  <si>
    <t>Скородное - Кочки, км 7+100 - км 11+000</t>
  </si>
  <si>
    <t>Короча - Губкин - граница Курской области,   км 23+000 - км 29+000</t>
  </si>
  <si>
    <t>ИТОГО по Губкинскому городскому округу</t>
  </si>
  <si>
    <t>Ивнянский район</t>
  </si>
  <si>
    <t>«Крым» - Ивня - Ракитное - Курасовка,             км 0+000 - км 2+300</t>
  </si>
  <si>
    <t>Ивня - Песчаное - Череново,                              км 0+000 - км 3+070 - 2025 год;                        км 3+070 - км 7+370 - 2026 год</t>
  </si>
  <si>
    <t>«Крым» - Сухосолотино, км 0+000 - км 4+300</t>
  </si>
  <si>
    <t>ИТОГО по Ивнянскому району</t>
  </si>
  <si>
    <t>Корочанский район</t>
  </si>
  <si>
    <t>«Короча - Чернянка - Красное» - Бубново - Васильдол, км 0+000 - км 4+100</t>
  </si>
  <si>
    <t>Короча - Губкин - граница Курской области,   км 13+500 -км 19+500</t>
  </si>
  <si>
    <t>ИТОГО по Корочанскому району</t>
  </si>
  <si>
    <t>Красненский район</t>
  </si>
  <si>
    <t>Короча - Чернянка - Красное - Новосолдатка, км 0+000 - км 3+900</t>
  </si>
  <si>
    <t>Красное - Польниково, км 0+000 - км 4+200</t>
  </si>
  <si>
    <t>«Красное - Свистовка - Киселевка» - Малиново, км 0+000 - км 2+100</t>
  </si>
  <si>
    <t>ИТОГО по Красненскому району</t>
  </si>
  <si>
    <t>«Котляров - Ливенка» - Ковалев,                       км 0+000 - км 4+400</t>
  </si>
  <si>
    <t xml:space="preserve">«Белгород - Новый Оскол - Советское» - Веселое - Николаевский с подъездом к селу Николаевский, км 6+000 - км 11+400 </t>
  </si>
  <si>
    <t>ИТОГО по Красногвардейскому району</t>
  </si>
  <si>
    <t>Новооскольский муниципальный округ</t>
  </si>
  <si>
    <r>
      <rPr>
        <sz val="16"/>
        <rFont val="Times New Roman"/>
        <family val="1"/>
        <charset val="204"/>
      </rPr>
      <t>«Белгород - Новый Оскол - Советское» - Богородское, км  0+053 - км 9+700</t>
    </r>
    <r>
      <rPr>
        <b/>
        <sz val="12"/>
        <rFont val="Times New Roman"/>
        <family val="1"/>
        <charset val="204"/>
      </rPr>
      <t xml:space="preserve"> </t>
    </r>
  </si>
  <si>
    <t>ИТОГО по Новооскольскому муниципальному округу</t>
  </si>
  <si>
    <t>Прохоровский  район</t>
  </si>
  <si>
    <t>Подольхи - Гнездиловка - Черновка,                 км 8+300 - км 11+800 - 2025 год;                      км 0+000 - км 8+300 - 2026 год</t>
  </si>
  <si>
    <t>Прохоровка - Плота - Ржавец - Казачье,                                                           км 25+500 - км 33+100</t>
  </si>
  <si>
    <t>ИТОГО по Прохоровскому району</t>
  </si>
  <si>
    <t>Ракитянский район</t>
  </si>
  <si>
    <t>Борисовка - Пролетарский,                                км 27+410 - км 30+230</t>
  </si>
  <si>
    <t xml:space="preserve">   </t>
  </si>
  <si>
    <t>«Томаровка - Красная Яруга -                             Илек-Пеньковка - Колотиловка» - Коровино,   км  6+300 - км 9+800</t>
  </si>
  <si>
    <t>Ровеньский район</t>
  </si>
  <si>
    <t>«Белгород - Новый Оскол - Советское» - Айдар, км 32+250 - км 38+268</t>
  </si>
  <si>
    <t>«Белгород - Новый Оскол - Советское» - Айдар, км 23+250 - км 27+000</t>
  </si>
  <si>
    <t>ИТОГО по Ровеньскому району</t>
  </si>
  <si>
    <t>Старооскольский городской округ</t>
  </si>
  <si>
    <t>Владимировка - Новоалександровка - Ларисовка, км 1+820 - км 8+630</t>
  </si>
  <si>
    <t>Шаталовка - Потудань, км 0+000 - км 6+000</t>
  </si>
  <si>
    <t>Магистраль 1-1, км 15+515 - км 21+515</t>
  </si>
  <si>
    <t>ИТОГО по Старооскольскому городскому округу</t>
  </si>
  <si>
    <t>Красный Остров - Русская Халань,                    км 0+000 - км 3+800</t>
  </si>
  <si>
    <t>«Короча - Чернянка - Красное» - Новая Масловка, км 0+000 - км 5+000</t>
  </si>
  <si>
    <t>ИТОГО по Чернянскому району</t>
  </si>
  <si>
    <t>Шебекинский муниципальный округ</t>
  </si>
  <si>
    <t>Артельное - Булановка - Бершаково,                 км 0+000 - км 8+320</t>
  </si>
  <si>
    <t>ИТОГО по Шебекинскому муниципальному округу</t>
  </si>
  <si>
    <t>Яковлевский муниципальный округ</t>
  </si>
  <si>
    <t>Жданов - Гостищево, км 0+000 - км 3+230</t>
  </si>
  <si>
    <t>Томаровка - Строитель - «Крым»,                      км 0+000 - км 6+400</t>
  </si>
  <si>
    <t>ИТОГО по Яковлевскому муниципальному округу</t>
  </si>
  <si>
    <t>город Белгород</t>
  </si>
  <si>
    <t>ИТОГО по городу Белгороду</t>
  </si>
  <si>
    <t>резерв</t>
  </si>
  <si>
    <t xml:space="preserve">ВСЕГО  по искусственным сооружениям  </t>
  </si>
  <si>
    <t xml:space="preserve"> - регионального значения, из них: </t>
  </si>
  <si>
    <t>авансы 2023 год</t>
  </si>
  <si>
    <t xml:space="preserve"> - реконструировано</t>
  </si>
  <si>
    <t xml:space="preserve"> - капитально отремонтировано</t>
  </si>
  <si>
    <t xml:space="preserve"> - отремонтировано</t>
  </si>
  <si>
    <t xml:space="preserve"> - местного значения, из них: </t>
  </si>
  <si>
    <t>Ремонт путепровода через железную дорогу  на ул. Революционная в городе Алексеевка Алексеевского городского округа Белгородской области</t>
  </si>
  <si>
    <t>Реконструкция мостового перехода через реку Черная Калитва на км 0+140 автомобильной дороги «Белгород - Новый Оскол - Советское» - Шапорево в Алексевском городском округе</t>
  </si>
  <si>
    <t xml:space="preserve">Капитальный  ремонт моста  (левый) через       р. Искринка на км 9+840 автодороги                Белгород - Грайворон - Козинка </t>
  </si>
  <si>
    <t xml:space="preserve">Ремонт моста (правый) через р. Искринка         на км 9+840 автодороги Белгород -                  Грайворон - Козинка </t>
  </si>
  <si>
    <t>Капитальный ремонт моста через р. Ворскла    на км 0+250 автомобильной дороги                  Борисовка - Пролетарский</t>
  </si>
  <si>
    <t>Ремонт моста через р. Ворскла на км 0+800 автомобильной дороги Порубежное - Теплое</t>
  </si>
  <si>
    <t xml:space="preserve">Капитальный ремонт моста через реку Валуй  на ул. Демьяна Бедного в городе Валуйки </t>
  </si>
  <si>
    <t xml:space="preserve">Ремонт путепровода через ж/д пути                    на км 75+080 автодороги Новый Оскол -Валуйки - Ровеньки </t>
  </si>
  <si>
    <t xml:space="preserve">      </t>
  </si>
  <si>
    <t>Ремонт моста через р. Валуй на км 1+200 автодороги «Валуйки - Алексеевка -                   Красное» - Филиппово - Верхний Моисей</t>
  </si>
  <si>
    <t>Ремонт моста через р. Ураева на км 100+930 автодороги Новый Оскол - Валуйки - Ровеньки</t>
  </si>
  <si>
    <t xml:space="preserve">Капитальный ремонт путепровода                     через железную дорогу на км 40+700               автодороги Новый Оскол - Валуйки - Ровеньки </t>
  </si>
  <si>
    <t xml:space="preserve">Капитальный ремонт путепровода                               через железную дорогу на км 41+490                                  автодороги Новый Оскол - Валуйки - Ровеньки </t>
  </si>
  <si>
    <t>Ремонт моста через р. Лозовая на км 66+500 автодороги Белгород - Грайворон - Козинка</t>
  </si>
  <si>
    <t xml:space="preserve">Ремонт моста через суходол                              на км 10+600 автодороги Скородное - Кочки </t>
  </si>
  <si>
    <t>Ремонт моста через р. Корень на км 8+900       автодороги Самойловка - Кощеево - Хмелевое</t>
  </si>
  <si>
    <t xml:space="preserve">Ремонт моста через р. Короча на км 0+000       автодороги Подъезд к селу Бехтеевка </t>
  </si>
  <si>
    <t xml:space="preserve">Капитальный ремонт путепровода через железную дорогу на ул. Кооперативная            в городе Новый Оскол </t>
  </si>
  <si>
    <t>Прохоровский район</t>
  </si>
  <si>
    <t>Ремонт моста через р.Северский Донец            на км 35+010 а/д Короча - Новая Слободка -Хмелевое - Призначное</t>
  </si>
  <si>
    <t xml:space="preserve">Ремонт путепровода по проспекту Алексея Угарова на пересечении магистралей I-I,          II-II (ул. Ерошенко) в городе Старый Оскол </t>
  </si>
  <si>
    <t xml:space="preserve">Ремонт путепровода над автодорогой                  в составе транспортной развязки на км 7+600  автодороги Магистраль 1-1                                             </t>
  </si>
  <si>
    <t xml:space="preserve">Ремонт путепровода над автодорогой                  в составе транспортной развязки на км 7+800  автодороги Магистраль 1-1                                             </t>
  </si>
  <si>
    <t xml:space="preserve">Ремонт путепровода над трамвайными путями в составе транспортной развязки на км 4+700 Магистрали 1-1                                                </t>
  </si>
  <si>
    <t xml:space="preserve">Ремонт путепровода над автомобильной дорогой  и трамвайными путями                        на км 15+700 автодороги  Магистраль 1-1                    </t>
  </si>
  <si>
    <t xml:space="preserve">Капитальный ремонт путепровода                     над Магистралью 1-1 в составе транспортной развязки на км 10+800 </t>
  </si>
  <si>
    <t>Ремонт моста через р. Котел на км 14+990 автомобильной дороги Магистраль 1-1</t>
  </si>
  <si>
    <t xml:space="preserve"> Чернянский район</t>
  </si>
  <si>
    <t xml:space="preserve">Ремонт моста через реку Оскол на участке       км  46+526 автодороги  Короча - Чернянка - Красное </t>
  </si>
  <si>
    <t>Ремонт моста через реку Нежеголь                    на ул. Пески в с. Нежеголь</t>
  </si>
  <si>
    <t>Подъезд к п. Новосадовый, км 0+010 -               км 1+410</t>
  </si>
  <si>
    <t xml:space="preserve">Таврово - Соломино - Разумное,                           км 0+000 - км 3+000 - 2025 год;                          км 3+000 - км 4+600 - 2026 год    </t>
  </si>
  <si>
    <t>«Еремовка - Ровеньки - Нижняя Серебрянка» - Верхняя Серебрянка, км 0+000 - км 3+500</t>
  </si>
  <si>
    <t>Нагорье - Ржевка - граница Воронежской области, км 0+000 - км 2+900</t>
  </si>
  <si>
    <t>Сапрыкино - Орлик, км 4+700 - км 7+500</t>
  </si>
  <si>
    <t>Гезов - Хлевище - Попасный - Мирный,            0+000 - км 7+606</t>
  </si>
  <si>
    <t xml:space="preserve">«Томаровка -Красная Яруга -                              Илек-Пеньковка - Колотиловка» - Коровино,   км 0+050 - км 6+300 </t>
  </si>
  <si>
    <t>Великомихайловка - Подвислое,                         км 0+018 - км 2+800</t>
  </si>
  <si>
    <t>Валуйки - Пристень - Борки,                                                   км 4+100 - км 8+187</t>
  </si>
  <si>
    <t>«Юго - Западный -2» - Комсомольский,               км 6+500 - км 7+900</t>
  </si>
  <si>
    <t>Протяжен-ность</t>
  </si>
  <si>
    <t>област-ной бюджет</t>
  </si>
  <si>
    <t>муници-пальный бюджет</t>
  </si>
  <si>
    <t xml:space="preserve">Беломестное - Слоновка - Николаевка - Львовка, км 0+000 - км 12+020;  км 23+485 -                      км 25+215                                       </t>
  </si>
  <si>
    <t>Артельное - Белый Колодезь - Караичное - Верхнеберезово, км 12+914 - км 18+000</t>
  </si>
  <si>
    <t>«Белгород - Новый Оскол - Советское» - Замостье, км 0+000 - км 2+100</t>
  </si>
  <si>
    <t>«Камызино - Новоуколово - Владимировка - Обуховка» - Ураково, км 0+000 - км 1+200</t>
  </si>
  <si>
    <t xml:space="preserve">Новый Оскол - Ниновка, км 0+000 -                                км 2+226 </t>
  </si>
  <si>
    <t>Борисовка - Пролетарский,                                                      км 6+000 - км 9+500</t>
  </si>
  <si>
    <t>Приложение  № 1                                                                                                                                                                                                                   к государственной программе Белгородской области «Совершенствование                                  и развитие транспортной системы и дорожной сети Белгородской области»</t>
  </si>
  <si>
    <t>ИТОГО по Ракитянскому району</t>
  </si>
</sst>
</file>

<file path=xl/styles.xml><?xml version="1.0" encoding="utf-8"?>
<styleSheet xmlns="http://schemas.openxmlformats.org/spreadsheetml/2006/main">
  <numFmts count="11">
    <numFmt numFmtId="164" formatCode="#,##0.0"/>
    <numFmt numFmtId="165" formatCode="#,##0.000"/>
    <numFmt numFmtId="166" formatCode="#,##0.000_р_."/>
    <numFmt numFmtId="167" formatCode="0.00000"/>
    <numFmt numFmtId="168" formatCode="0.000"/>
    <numFmt numFmtId="169" formatCode="0.0"/>
    <numFmt numFmtId="170" formatCode="#,##0.0_р_."/>
    <numFmt numFmtId="171" formatCode="_-* #,##0.00_р_._-;\-* #,##0.00_р_._-;_-* \-??_р_._-;_-@_-"/>
    <numFmt numFmtId="172" formatCode="_-* #,##0.0_р_._-;\-* #,##0.0_р_._-;_-* \-??_р_._-;_-@_-"/>
    <numFmt numFmtId="173" formatCode="#,##0.0;[Red]#,##0.0"/>
    <numFmt numFmtId="174" formatCode="#,##0.00000"/>
  </numFmts>
  <fonts count="22">
    <font>
      <sz val="10"/>
      <name val="Arial Cyr"/>
      <charset val="204"/>
    </font>
    <font>
      <sz val="11"/>
      <color theme="1"/>
      <name val="Calibri"/>
      <family val="2"/>
      <charset val="204"/>
    </font>
    <font>
      <sz val="11"/>
      <color rgb="FF000000"/>
      <name val="Calibri"/>
      <family val="2"/>
      <charset val="204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3"/>
      <name val="Times New Roman"/>
      <family val="1"/>
      <charset val="204"/>
    </font>
    <font>
      <sz val="14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6"/>
      <name val="Times New Roman"/>
      <family val="1"/>
      <charset val="204"/>
    </font>
    <font>
      <sz val="18"/>
      <name val="Times New Roman"/>
      <family val="1"/>
      <charset val="204"/>
    </font>
    <font>
      <b/>
      <sz val="2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6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6"/>
      <color rgb="FFFFFFFF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</borders>
  <cellStyleXfs count="14">
    <xf numFmtId="0" fontId="0" fillId="0" borderId="0"/>
    <xf numFmtId="171" fontId="21" fillId="0" borderId="0" applyBorder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3" fillId="0" borderId="0"/>
    <xf numFmtId="0" fontId="21" fillId="0" borderId="0"/>
    <xf numFmtId="0" fontId="4" fillId="0" borderId="0"/>
    <xf numFmtId="0" fontId="3" fillId="0" borderId="0"/>
    <xf numFmtId="0" fontId="4" fillId="0" borderId="0"/>
  </cellStyleXfs>
  <cellXfs count="179">
    <xf numFmtId="0" fontId="0" fillId="0" borderId="0" xfId="0"/>
    <xf numFmtId="0" fontId="5" fillId="0" borderId="0" xfId="13" applyFont="1" applyAlignment="1" applyProtection="1">
      <alignment horizontal="center"/>
    </xf>
    <xf numFmtId="0" fontId="5" fillId="0" borderId="0" xfId="13" applyFont="1" applyAlignment="1" applyProtection="1"/>
    <xf numFmtId="0" fontId="6" fillId="0" borderId="0" xfId="13" applyFont="1" applyAlignment="1" applyProtection="1">
      <alignment horizontal="center"/>
    </xf>
    <xf numFmtId="0" fontId="6" fillId="0" borderId="0" xfId="13" applyFont="1" applyAlignment="1" applyProtection="1"/>
    <xf numFmtId="0" fontId="7" fillId="0" borderId="0" xfId="13" applyFont="1" applyAlignment="1" applyProtection="1"/>
    <xf numFmtId="0" fontId="0" fillId="0" borderId="0" xfId="0" applyAlignment="1" applyProtection="1"/>
    <xf numFmtId="0" fontId="7" fillId="0" borderId="0" xfId="0" applyFont="1" applyAlignment="1" applyProtection="1">
      <alignment vertical="top" wrapText="1"/>
    </xf>
    <xf numFmtId="164" fontId="6" fillId="0" borderId="0" xfId="13" applyNumberFormat="1" applyFont="1" applyAlignment="1" applyProtection="1"/>
    <xf numFmtId="0" fontId="7" fillId="0" borderId="0" xfId="13" applyFont="1" applyAlignment="1" applyProtection="1">
      <alignment horizontal="center"/>
    </xf>
    <xf numFmtId="0" fontId="8" fillId="0" borderId="0" xfId="13" applyFont="1" applyAlignment="1" applyProtection="1">
      <alignment horizontal="center" vertical="center" wrapText="1"/>
    </xf>
    <xf numFmtId="0" fontId="9" fillId="0" borderId="0" xfId="0" applyFont="1" applyAlignment="1" applyProtection="1"/>
    <xf numFmtId="0" fontId="4" fillId="0" borderId="0" xfId="13" applyFont="1" applyAlignment="1" applyProtection="1"/>
    <xf numFmtId="164" fontId="8" fillId="0" borderId="1" xfId="13" applyNumberFormat="1" applyFont="1" applyBorder="1" applyAlignment="1" applyProtection="1">
      <alignment horizontal="center" vertical="center" wrapText="1"/>
    </xf>
    <xf numFmtId="0" fontId="4" fillId="0" borderId="0" xfId="13" applyFont="1" applyBorder="1" applyAlignment="1" applyProtection="1"/>
    <xf numFmtId="0" fontId="6" fillId="0" borderId="0" xfId="13" applyFont="1" applyBorder="1" applyAlignment="1" applyProtection="1"/>
    <xf numFmtId="0" fontId="7" fillId="0" borderId="6" xfId="13" applyFont="1" applyBorder="1" applyAlignment="1" applyProtection="1">
      <alignment horizontal="center" vertical="center"/>
    </xf>
    <xf numFmtId="0" fontId="0" fillId="0" borderId="0" xfId="0" applyBorder="1" applyAlignment="1" applyProtection="1"/>
    <xf numFmtId="0" fontId="6" fillId="0" borderId="1" xfId="13" applyFont="1" applyBorder="1" applyAlignment="1" applyProtection="1"/>
    <xf numFmtId="0" fontId="12" fillId="0" borderId="15" xfId="0" applyFont="1" applyBorder="1" applyAlignment="1" applyProtection="1">
      <alignment horizontal="center" vertical="top"/>
    </xf>
    <xf numFmtId="0" fontId="12" fillId="0" borderId="16" xfId="0" applyFont="1" applyBorder="1" applyAlignment="1" applyProtection="1">
      <alignment horizontal="center" vertical="top"/>
    </xf>
    <xf numFmtId="0" fontId="8" fillId="0" borderId="17" xfId="13" applyFont="1" applyBorder="1" applyAlignment="1" applyProtection="1">
      <alignment horizontal="center" vertical="top" wrapText="1"/>
    </xf>
    <xf numFmtId="0" fontId="14" fillId="0" borderId="7" xfId="0" applyFont="1" applyBorder="1" applyAlignment="1" applyProtection="1">
      <alignment horizontal="left" vertical="top" wrapText="1"/>
    </xf>
    <xf numFmtId="0" fontId="14" fillId="0" borderId="8" xfId="0" applyFont="1" applyBorder="1" applyAlignment="1" applyProtection="1">
      <alignment horizontal="left" vertical="top" wrapText="1"/>
    </xf>
    <xf numFmtId="164" fontId="8" fillId="0" borderId="7" xfId="13" applyNumberFormat="1" applyFont="1" applyBorder="1" applyAlignment="1" applyProtection="1">
      <alignment horizontal="center" vertical="center" wrapText="1"/>
    </xf>
    <xf numFmtId="164" fontId="8" fillId="0" borderId="8" xfId="13" applyNumberFormat="1" applyFont="1" applyBorder="1" applyAlignment="1" applyProtection="1">
      <alignment horizontal="center" vertical="center" wrapText="1"/>
    </xf>
    <xf numFmtId="0" fontId="15" fillId="0" borderId="17" xfId="13" applyFont="1" applyBorder="1" applyAlignment="1" applyProtection="1">
      <alignment horizontal="center" vertical="top" wrapText="1"/>
    </xf>
    <xf numFmtId="0" fontId="15" fillId="0" borderId="7" xfId="13" applyFont="1" applyBorder="1" applyAlignment="1" applyProtection="1">
      <alignment horizontal="center" vertical="center" wrapText="1"/>
    </xf>
    <xf numFmtId="165" fontId="15" fillId="0" borderId="7" xfId="13" applyNumberFormat="1" applyFont="1" applyBorder="1" applyAlignment="1" applyProtection="1">
      <alignment horizontal="center" vertical="center" wrapText="1"/>
    </xf>
    <xf numFmtId="164" fontId="15" fillId="0" borderId="7" xfId="13" applyNumberFormat="1" applyFont="1" applyBorder="1" applyAlignment="1" applyProtection="1">
      <alignment horizontal="center" vertical="center" wrapText="1"/>
    </xf>
    <xf numFmtId="0" fontId="8" fillId="0" borderId="7" xfId="13" applyFont="1" applyBorder="1" applyAlignment="1" applyProtection="1">
      <alignment horizontal="left" vertical="center" wrapText="1"/>
    </xf>
    <xf numFmtId="0" fontId="15" fillId="0" borderId="7" xfId="0" applyFont="1" applyBorder="1" applyAlignment="1" applyProtection="1">
      <alignment vertical="top" wrapText="1"/>
    </xf>
    <xf numFmtId="0" fontId="0" fillId="0" borderId="7" xfId="0" applyBorder="1" applyAlignment="1" applyProtection="1"/>
    <xf numFmtId="166" fontId="15" fillId="0" borderId="7" xfId="13" applyNumberFormat="1" applyFont="1" applyBorder="1" applyAlignment="1" applyProtection="1">
      <alignment horizontal="center" vertical="center" wrapText="1"/>
    </xf>
    <xf numFmtId="164" fontId="8" fillId="0" borderId="19" xfId="13" applyNumberFormat="1" applyFont="1" applyBorder="1" applyAlignment="1" applyProtection="1">
      <alignment horizontal="center" vertical="center" wrapText="1"/>
    </xf>
    <xf numFmtId="164" fontId="14" fillId="0" borderId="7" xfId="0" applyNumberFormat="1" applyFont="1" applyBorder="1" applyAlignment="1" applyProtection="1">
      <alignment horizontal="left" vertical="top" wrapText="1"/>
    </xf>
    <xf numFmtId="0" fontId="7" fillId="0" borderId="17" xfId="13" applyFont="1" applyBorder="1" applyAlignment="1" applyProtection="1">
      <alignment horizontal="center" wrapText="1"/>
    </xf>
    <xf numFmtId="0" fontId="13" fillId="0" borderId="18" xfId="0" applyFont="1" applyBorder="1" applyAlignment="1" applyProtection="1">
      <alignment vertical="center" wrapText="1"/>
    </xf>
    <xf numFmtId="0" fontId="15" fillId="0" borderId="7" xfId="13" applyFont="1" applyBorder="1" applyAlignment="1" applyProtection="1"/>
    <xf numFmtId="0" fontId="15" fillId="0" borderId="19" xfId="13" applyFont="1" applyBorder="1" applyAlignment="1" applyProtection="1"/>
    <xf numFmtId="167" fontId="4" fillId="0" borderId="0" xfId="13" applyNumberFormat="1" applyFont="1" applyAlignment="1" applyProtection="1"/>
    <xf numFmtId="0" fontId="15" fillId="0" borderId="0" xfId="13" applyFont="1" applyAlignment="1" applyProtection="1">
      <alignment vertical="center" wrapText="1"/>
    </xf>
    <xf numFmtId="3" fontId="8" fillId="0" borderId="7" xfId="13" applyNumberFormat="1" applyFont="1" applyBorder="1" applyAlignment="1" applyProtection="1">
      <alignment horizontal="center" vertical="center" wrapText="1"/>
    </xf>
    <xf numFmtId="165" fontId="8" fillId="0" borderId="7" xfId="13" applyNumberFormat="1" applyFont="1" applyBorder="1" applyAlignment="1" applyProtection="1">
      <alignment horizontal="center" vertical="center" wrapText="1"/>
    </xf>
    <xf numFmtId="164" fontId="8" fillId="0" borderId="18" xfId="13" applyNumberFormat="1" applyFont="1" applyBorder="1" applyAlignment="1" applyProtection="1">
      <alignment horizontal="center" vertical="center" wrapText="1"/>
    </xf>
    <xf numFmtId="164" fontId="15" fillId="0" borderId="0" xfId="13" applyNumberFormat="1" applyFont="1" applyAlignment="1" applyProtection="1">
      <alignment vertical="center" wrapText="1"/>
    </xf>
    <xf numFmtId="164" fontId="8" fillId="0" borderId="0" xfId="13" applyNumberFormat="1" applyFont="1" applyBorder="1" applyAlignment="1" applyProtection="1">
      <alignment horizontal="center" vertical="center" wrapText="1"/>
    </xf>
    <xf numFmtId="164" fontId="15" fillId="0" borderId="7" xfId="13" applyNumberFormat="1" applyFont="1" applyBorder="1" applyAlignment="1" applyProtection="1"/>
    <xf numFmtId="164" fontId="4" fillId="0" borderId="0" xfId="13" applyNumberFormat="1" applyFont="1" applyAlignment="1" applyProtection="1"/>
    <xf numFmtId="0" fontId="13" fillId="0" borderId="7" xfId="0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horizontal="left" vertical="center" wrapText="1"/>
    </xf>
    <xf numFmtId="164" fontId="15" fillId="0" borderId="8" xfId="13" applyNumberFormat="1" applyFont="1" applyBorder="1" applyAlignment="1" applyProtection="1">
      <alignment horizontal="center" vertical="center" wrapText="1"/>
    </xf>
    <xf numFmtId="164" fontId="15" fillId="0" borderId="18" xfId="13" applyNumberFormat="1" applyFont="1" applyBorder="1" applyAlignment="1" applyProtection="1">
      <alignment horizontal="center" vertical="center" wrapText="1"/>
    </xf>
    <xf numFmtId="168" fontId="15" fillId="0" borderId="7" xfId="13" applyNumberFormat="1" applyFont="1" applyBorder="1" applyAlignment="1" applyProtection="1">
      <alignment horizontal="center" vertical="center" wrapText="1"/>
    </xf>
    <xf numFmtId="3" fontId="15" fillId="0" borderId="7" xfId="13" applyNumberFormat="1" applyFont="1" applyBorder="1" applyAlignment="1" applyProtection="1">
      <alignment horizontal="center" vertical="center" wrapText="1"/>
    </xf>
    <xf numFmtId="166" fontId="15" fillId="0" borderId="7" xfId="12" applyNumberFormat="1" applyFont="1" applyBorder="1" applyAlignment="1" applyProtection="1">
      <alignment horizontal="center" vertical="center" wrapText="1"/>
    </xf>
    <xf numFmtId="169" fontId="15" fillId="0" borderId="7" xfId="13" applyNumberFormat="1" applyFont="1" applyBorder="1" applyAlignment="1" applyProtection="1">
      <alignment horizontal="center" vertical="center" wrapText="1"/>
    </xf>
    <xf numFmtId="169" fontId="8" fillId="0" borderId="7" xfId="13" applyNumberFormat="1" applyFont="1" applyBorder="1" applyAlignment="1" applyProtection="1">
      <alignment horizontal="center" vertical="center" wrapText="1"/>
    </xf>
    <xf numFmtId="168" fontId="15" fillId="0" borderId="7" xfId="13" applyNumberFormat="1" applyFont="1" applyBorder="1" applyAlignment="1" applyProtection="1">
      <alignment horizontal="center" vertical="center"/>
    </xf>
    <xf numFmtId="3" fontId="15" fillId="0" borderId="7" xfId="13" applyNumberFormat="1" applyFont="1" applyBorder="1" applyAlignment="1" applyProtection="1">
      <alignment horizontal="center" vertical="center"/>
    </xf>
    <xf numFmtId="0" fontId="15" fillId="0" borderId="17" xfId="13" applyFont="1" applyBorder="1" applyAlignment="1" applyProtection="1">
      <alignment horizontal="center" wrapText="1"/>
    </xf>
    <xf numFmtId="170" fontId="15" fillId="0" borderId="7" xfId="12" applyNumberFormat="1" applyFont="1" applyBorder="1" applyAlignment="1" applyProtection="1">
      <alignment horizontal="center" vertical="center" wrapText="1"/>
    </xf>
    <xf numFmtId="164" fontId="15" fillId="0" borderId="7" xfId="12" applyNumberFormat="1" applyFont="1" applyBorder="1" applyAlignment="1" applyProtection="1">
      <alignment horizontal="center" vertical="center" wrapText="1"/>
    </xf>
    <xf numFmtId="2" fontId="8" fillId="0" borderId="7" xfId="13" applyNumberFormat="1" applyFont="1" applyBorder="1" applyAlignment="1" applyProtection="1">
      <alignment horizontal="center" vertical="center" wrapText="1"/>
    </xf>
    <xf numFmtId="4" fontId="15" fillId="0" borderId="7" xfId="13" applyNumberFormat="1" applyFont="1" applyBorder="1" applyAlignment="1" applyProtection="1">
      <alignment horizontal="center" vertical="center" wrapText="1"/>
    </xf>
    <xf numFmtId="0" fontId="15" fillId="0" borderId="7" xfId="0" applyFont="1" applyBorder="1" applyAlignment="1" applyProtection="1">
      <alignment horizontal="left" vertical="center" wrapText="1"/>
    </xf>
    <xf numFmtId="0" fontId="15" fillId="0" borderId="17" xfId="13" applyFont="1" applyBorder="1" applyAlignment="1" applyProtection="1">
      <alignment horizontal="center" vertical="center" wrapText="1"/>
    </xf>
    <xf numFmtId="170" fontId="15" fillId="0" borderId="7" xfId="13" applyNumberFormat="1" applyFont="1" applyBorder="1" applyAlignment="1" applyProtection="1">
      <alignment horizontal="center" vertical="center" wrapText="1"/>
    </xf>
    <xf numFmtId="169" fontId="15" fillId="0" borderId="7" xfId="0" applyNumberFormat="1" applyFont="1" applyBorder="1" applyAlignment="1" applyProtection="1">
      <alignment horizontal="left" vertical="center" wrapText="1"/>
    </xf>
    <xf numFmtId="0" fontId="7" fillId="0" borderId="7" xfId="13" applyFont="1" applyBorder="1" applyAlignment="1" applyProtection="1">
      <alignment horizontal="left" vertical="center" wrapText="1"/>
    </xf>
    <xf numFmtId="166" fontId="8" fillId="0" borderId="7" xfId="13" applyNumberFormat="1" applyFont="1" applyBorder="1" applyAlignment="1" applyProtection="1">
      <alignment horizontal="center" vertical="center" wrapText="1"/>
    </xf>
    <xf numFmtId="170" fontId="8" fillId="0" borderId="7" xfId="13" applyNumberFormat="1" applyFont="1" applyBorder="1" applyAlignment="1" applyProtection="1">
      <alignment horizontal="center" vertical="center" wrapText="1"/>
    </xf>
    <xf numFmtId="0" fontId="9" fillId="0" borderId="7" xfId="13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vertical="center" wrapText="1"/>
    </xf>
    <xf numFmtId="172" fontId="8" fillId="0" borderId="7" xfId="1" applyNumberFormat="1" applyFont="1" applyBorder="1" applyAlignment="1" applyProtection="1">
      <alignment horizontal="center" vertical="center" wrapText="1"/>
    </xf>
    <xf numFmtId="0" fontId="8" fillId="0" borderId="18" xfId="11" applyFont="1" applyBorder="1" applyAlignment="1" applyProtection="1">
      <alignment horizontal="center" vertical="center" wrapText="1"/>
    </xf>
    <xf numFmtId="164" fontId="18" fillId="0" borderId="7" xfId="13" applyNumberFormat="1" applyFont="1" applyBorder="1" applyAlignment="1" applyProtection="1">
      <alignment horizontal="center" vertical="center" wrapText="1"/>
    </xf>
    <xf numFmtId="3" fontId="15" fillId="0" borderId="18" xfId="13" applyNumberFormat="1" applyFont="1" applyBorder="1" applyAlignment="1" applyProtection="1">
      <alignment horizontal="center" vertical="center" wrapText="1"/>
    </xf>
    <xf numFmtId="3" fontId="15" fillId="0" borderId="8" xfId="13" applyNumberFormat="1" applyFont="1" applyBorder="1" applyAlignment="1" applyProtection="1">
      <alignment horizontal="center" vertical="center" wrapText="1"/>
    </xf>
    <xf numFmtId="168" fontId="8" fillId="0" borderId="7" xfId="13" applyNumberFormat="1" applyFont="1" applyBorder="1" applyAlignment="1" applyProtection="1">
      <alignment horizontal="center" vertical="center" wrapText="1"/>
    </xf>
    <xf numFmtId="168" fontId="8" fillId="0" borderId="18" xfId="13" applyNumberFormat="1" applyFont="1" applyBorder="1" applyAlignment="1" applyProtection="1">
      <alignment horizontal="center" vertical="center" wrapText="1"/>
    </xf>
    <xf numFmtId="0" fontId="8" fillId="0" borderId="17" xfId="13" applyFont="1" applyBorder="1" applyAlignment="1" applyProtection="1">
      <alignment horizontal="center" wrapText="1"/>
    </xf>
    <xf numFmtId="0" fontId="6" fillId="0" borderId="0" xfId="13" applyFont="1" applyAlignment="1" applyProtection="1">
      <alignment vertical="center" wrapText="1"/>
    </xf>
    <xf numFmtId="0" fontId="7" fillId="0" borderId="17" xfId="13" applyFont="1" applyBorder="1" applyAlignment="1" applyProtection="1">
      <alignment horizontal="center" vertical="top" wrapText="1"/>
    </xf>
    <xf numFmtId="164" fontId="14" fillId="0" borderId="7" xfId="0" applyNumberFormat="1" applyFont="1" applyBorder="1" applyAlignment="1" applyProtection="1">
      <alignment horizontal="center" vertical="center" wrapText="1"/>
    </xf>
    <xf numFmtId="164" fontId="14" fillId="0" borderId="8" xfId="0" applyNumberFormat="1" applyFont="1" applyBorder="1" applyAlignment="1" applyProtection="1">
      <alignment horizontal="center" vertical="center" wrapText="1"/>
    </xf>
    <xf numFmtId="164" fontId="6" fillId="0" borderId="0" xfId="13" applyNumberFormat="1" applyFont="1" applyAlignment="1" applyProtection="1">
      <alignment vertical="center" wrapText="1"/>
    </xf>
    <xf numFmtId="0" fontId="16" fillId="0" borderId="7" xfId="0" applyFont="1" applyBorder="1" applyAlignment="1" applyProtection="1">
      <alignment vertical="center" wrapText="1"/>
    </xf>
    <xf numFmtId="164" fontId="19" fillId="0" borderId="7" xfId="0" applyNumberFormat="1" applyFont="1" applyBorder="1" applyAlignment="1" applyProtection="1">
      <alignment horizontal="center" vertical="center" wrapText="1"/>
    </xf>
    <xf numFmtId="164" fontId="19" fillId="0" borderId="8" xfId="0" applyNumberFormat="1" applyFont="1" applyBorder="1" applyAlignment="1" applyProtection="1">
      <alignment horizontal="center" vertical="center" wrapText="1"/>
    </xf>
    <xf numFmtId="164" fontId="11" fillId="0" borderId="0" xfId="13" applyNumberFormat="1" applyFont="1" applyAlignment="1" applyProtection="1">
      <alignment vertical="center" wrapText="1"/>
    </xf>
    <xf numFmtId="0" fontId="14" fillId="0" borderId="7" xfId="0" applyFont="1" applyBorder="1" applyAlignment="1" applyProtection="1">
      <alignment horizontal="center" vertical="center" wrapText="1"/>
    </xf>
    <xf numFmtId="0" fontId="15" fillId="0" borderId="20" xfId="13" applyFont="1" applyBorder="1" applyAlignment="1" applyProtection="1">
      <alignment horizontal="center" vertical="top" wrapText="1"/>
    </xf>
    <xf numFmtId="3" fontId="8" fillId="0" borderId="18" xfId="13" applyNumberFormat="1" applyFont="1" applyBorder="1" applyAlignment="1" applyProtection="1">
      <alignment horizontal="center" vertical="center" wrapText="1"/>
    </xf>
    <xf numFmtId="3" fontId="8" fillId="0" borderId="8" xfId="13" applyNumberFormat="1" applyFont="1" applyBorder="1" applyAlignment="1" applyProtection="1">
      <alignment horizontal="center" vertical="center" wrapText="1"/>
    </xf>
    <xf numFmtId="164" fontId="15" fillId="0" borderId="18" xfId="9" applyNumberFormat="1" applyFont="1" applyBorder="1" applyAlignment="1" applyProtection="1">
      <alignment horizontal="center" vertical="center" wrapText="1"/>
    </xf>
    <xf numFmtId="164" fontId="8" fillId="0" borderId="21" xfId="9" applyNumberFormat="1" applyFont="1" applyBorder="1" applyAlignment="1" applyProtection="1">
      <alignment horizontal="left" vertical="center" wrapText="1"/>
    </xf>
    <xf numFmtId="164" fontId="17" fillId="0" borderId="18" xfId="13" applyNumberFormat="1" applyFont="1" applyBorder="1" applyAlignment="1" applyProtection="1">
      <alignment horizontal="center" vertical="center"/>
    </xf>
    <xf numFmtId="0" fontId="15" fillId="0" borderId="19" xfId="0" applyFont="1" applyBorder="1" applyAlignment="1" applyProtection="1">
      <alignment horizontal="left" vertical="center" wrapText="1"/>
    </xf>
    <xf numFmtId="0" fontId="6" fillId="0" borderId="7" xfId="13" applyFont="1" applyBorder="1" applyAlignment="1" applyProtection="1">
      <alignment vertical="center" wrapText="1"/>
    </xf>
    <xf numFmtId="0" fontId="15" fillId="0" borderId="7" xfId="13" applyFont="1" applyBorder="1" applyAlignment="1" applyProtection="1">
      <alignment horizontal="left" vertical="top" wrapText="1"/>
    </xf>
    <xf numFmtId="164" fontId="15" fillId="0" borderId="21" xfId="9" applyNumberFormat="1" applyFont="1" applyBorder="1" applyAlignment="1" applyProtection="1">
      <alignment horizontal="left" vertical="center" wrapText="1"/>
    </xf>
    <xf numFmtId="0" fontId="15" fillId="0" borderId="20" xfId="13" applyFont="1" applyBorder="1" applyAlignment="1" applyProtection="1">
      <alignment horizontal="center" vertical="center" wrapText="1"/>
    </xf>
    <xf numFmtId="0" fontId="5" fillId="0" borderId="0" xfId="13" applyFont="1" applyBorder="1" applyAlignment="1" applyProtection="1">
      <alignment horizontal="center" vertical="center" wrapText="1"/>
    </xf>
    <xf numFmtId="0" fontId="5" fillId="0" borderId="0" xfId="13" applyFont="1" applyAlignment="1" applyProtection="1">
      <alignment vertical="center" wrapText="1"/>
    </xf>
    <xf numFmtId="170" fontId="14" fillId="0" borderId="7" xfId="0" applyNumberFormat="1" applyFont="1" applyBorder="1" applyAlignment="1" applyProtection="1">
      <alignment horizontal="center" vertical="center" wrapText="1"/>
    </xf>
    <xf numFmtId="173" fontId="14" fillId="0" borderId="7" xfId="0" applyNumberFormat="1" applyFont="1" applyBorder="1" applyAlignment="1" applyProtection="1">
      <alignment horizontal="center" vertical="center" wrapText="1"/>
    </xf>
    <xf numFmtId="0" fontId="15" fillId="0" borderId="10" xfId="13" applyFont="1" applyBorder="1" applyAlignment="1" applyProtection="1">
      <alignment horizontal="center" vertical="top" wrapText="1"/>
    </xf>
    <xf numFmtId="0" fontId="15" fillId="0" borderId="11" xfId="13" applyFont="1" applyBorder="1" applyAlignment="1" applyProtection="1">
      <alignment horizontal="left" vertical="top" wrapText="1"/>
    </xf>
    <xf numFmtId="0" fontId="15" fillId="0" borderId="11" xfId="13" applyFont="1" applyBorder="1" applyAlignment="1" applyProtection="1">
      <alignment horizontal="center" vertical="center" wrapText="1"/>
    </xf>
    <xf numFmtId="0" fontId="14" fillId="0" borderId="11" xfId="0" applyFont="1" applyBorder="1" applyAlignment="1" applyProtection="1">
      <alignment horizontal="left" vertical="top" wrapText="1"/>
    </xf>
    <xf numFmtId="166" fontId="15" fillId="0" borderId="11" xfId="13" applyNumberFormat="1" applyFont="1" applyBorder="1" applyAlignment="1" applyProtection="1">
      <alignment horizontal="center" vertical="center" wrapText="1"/>
    </xf>
    <xf numFmtId="164" fontId="15" fillId="0" borderId="11" xfId="13" applyNumberFormat="1" applyFont="1" applyBorder="1" applyAlignment="1" applyProtection="1">
      <alignment horizontal="center" vertical="center" wrapText="1"/>
    </xf>
    <xf numFmtId="164" fontId="15" fillId="0" borderId="12" xfId="9" applyNumberFormat="1" applyFont="1" applyBorder="1" applyAlignment="1" applyProtection="1">
      <alignment horizontal="center" vertical="center" wrapText="1"/>
    </xf>
    <xf numFmtId="0" fontId="14" fillId="0" borderId="12" xfId="0" applyFont="1" applyBorder="1" applyAlignment="1" applyProtection="1">
      <alignment horizontal="left" vertical="top" wrapText="1"/>
    </xf>
    <xf numFmtId="0" fontId="14" fillId="0" borderId="13" xfId="0" applyFont="1" applyBorder="1" applyAlignment="1" applyProtection="1">
      <alignment horizontal="left" vertical="top" wrapText="1"/>
    </xf>
    <xf numFmtId="0" fontId="5" fillId="0" borderId="23" xfId="13" applyFont="1" applyBorder="1" applyAlignment="1" applyProtection="1">
      <alignment vertical="center" wrapText="1"/>
    </xf>
    <xf numFmtId="170" fontId="8" fillId="0" borderId="23" xfId="13" applyNumberFormat="1" applyFont="1" applyBorder="1" applyAlignment="1" applyProtection="1">
      <alignment horizontal="center" vertical="center" wrapText="1"/>
    </xf>
    <xf numFmtId="0" fontId="20" fillId="0" borderId="23" xfId="13" applyFont="1" applyBorder="1" applyAlignment="1" applyProtection="1">
      <alignment vertical="center" wrapText="1"/>
    </xf>
    <xf numFmtId="173" fontId="8" fillId="0" borderId="23" xfId="0" applyNumberFormat="1" applyFont="1" applyBorder="1" applyAlignment="1" applyProtection="1">
      <alignment horizontal="center" vertical="center"/>
    </xf>
    <xf numFmtId="0" fontId="4" fillId="0" borderId="23" xfId="13" applyFont="1" applyBorder="1" applyAlignment="1" applyProtection="1"/>
    <xf numFmtId="0" fontId="5" fillId="0" borderId="24" xfId="13" applyFont="1" applyBorder="1" applyAlignment="1" applyProtection="1">
      <alignment vertical="center" wrapText="1"/>
    </xf>
    <xf numFmtId="0" fontId="5" fillId="0" borderId="15" xfId="13" applyFont="1" applyBorder="1" applyAlignment="1" applyProtection="1">
      <alignment vertical="center" wrapText="1"/>
    </xf>
    <xf numFmtId="0" fontId="5" fillId="0" borderId="0" xfId="13" applyFont="1" applyAlignment="1" applyProtection="1">
      <alignment horizontal="center" vertical="center" wrapText="1"/>
    </xf>
    <xf numFmtId="164" fontId="8" fillId="0" borderId="7" xfId="13" applyNumberFormat="1" applyFont="1" applyBorder="1" applyAlignment="1" applyProtection="1">
      <alignment horizontal="center" wrapText="1"/>
    </xf>
    <xf numFmtId="174" fontId="15" fillId="0" borderId="7" xfId="13" applyNumberFormat="1" applyFont="1" applyBorder="1" applyAlignment="1" applyProtection="1">
      <alignment horizontal="center" vertical="center" wrapText="1"/>
    </xf>
    <xf numFmtId="169" fontId="15" fillId="0" borderId="15" xfId="0" applyNumberFormat="1" applyFont="1" applyBorder="1" applyAlignment="1" applyProtection="1">
      <alignment horizontal="left" vertical="center" wrapText="1"/>
    </xf>
    <xf numFmtId="165" fontId="15" fillId="0" borderId="15" xfId="13" applyNumberFormat="1" applyFont="1" applyBorder="1" applyAlignment="1" applyProtection="1">
      <alignment horizontal="center" vertical="center" wrapText="1"/>
    </xf>
    <xf numFmtId="0" fontId="15" fillId="0" borderId="7" xfId="13" applyFont="1" applyFill="1" applyBorder="1" applyAlignment="1" applyProtection="1">
      <alignment horizontal="left" vertical="center" wrapText="1"/>
    </xf>
    <xf numFmtId="4" fontId="14" fillId="0" borderId="7" xfId="0" applyNumberFormat="1" applyFont="1" applyBorder="1" applyAlignment="1" applyProtection="1">
      <alignment horizontal="center" vertical="center" wrapText="1"/>
    </xf>
    <xf numFmtId="0" fontId="11" fillId="0" borderId="10" xfId="13" applyFont="1" applyBorder="1" applyAlignment="1" applyProtection="1">
      <alignment horizontal="center" vertical="center"/>
    </xf>
    <xf numFmtId="0" fontId="11" fillId="0" borderId="11" xfId="13" applyFont="1" applyBorder="1" applyAlignment="1" applyProtection="1">
      <alignment horizontal="center" vertical="center"/>
    </xf>
    <xf numFmtId="0" fontId="11" fillId="0" borderId="12" xfId="13" applyFont="1" applyBorder="1" applyAlignment="1" applyProtection="1">
      <alignment horizontal="center" vertical="center"/>
    </xf>
    <xf numFmtId="0" fontId="11" fillId="0" borderId="13" xfId="13" applyFont="1" applyBorder="1" applyAlignment="1" applyProtection="1">
      <alignment horizontal="center" vertical="center"/>
    </xf>
    <xf numFmtId="0" fontId="19" fillId="0" borderId="18" xfId="0" applyFont="1" applyBorder="1" applyAlignment="1" applyProtection="1">
      <alignment vertical="center" wrapText="1"/>
    </xf>
    <xf numFmtId="0" fontId="8" fillId="0" borderId="17" xfId="13" applyFont="1" applyBorder="1" applyAlignment="1" applyProtection="1">
      <alignment horizontal="left" vertical="center" wrapText="1"/>
    </xf>
    <xf numFmtId="0" fontId="14" fillId="0" borderId="18" xfId="0" applyFont="1" applyBorder="1" applyAlignment="1" applyProtection="1">
      <alignment horizontal="left" vertical="top" wrapText="1"/>
    </xf>
    <xf numFmtId="0" fontId="8" fillId="0" borderId="7" xfId="13" applyFont="1" applyBorder="1" applyAlignment="1" applyProtection="1">
      <alignment horizontal="center" vertical="center" wrapText="1"/>
    </xf>
    <xf numFmtId="164" fontId="8" fillId="0" borderId="7" xfId="13" applyNumberFormat="1" applyFont="1" applyBorder="1" applyAlignment="1" applyProtection="1">
      <alignment horizontal="center" vertical="center" wrapText="1"/>
    </xf>
    <xf numFmtId="0" fontId="7" fillId="0" borderId="6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 wrapText="1"/>
    </xf>
    <xf numFmtId="0" fontId="11" fillId="0" borderId="6" xfId="13" applyFont="1" applyBorder="1" applyAlignment="1" applyProtection="1">
      <alignment horizontal="center" vertical="center" wrapText="1"/>
    </xf>
    <xf numFmtId="0" fontId="7" fillId="0" borderId="8" xfId="13" applyFont="1" applyBorder="1" applyAlignment="1" applyProtection="1">
      <alignment horizontal="center" vertical="center" wrapText="1"/>
    </xf>
    <xf numFmtId="164" fontId="4" fillId="0" borderId="0" xfId="13" applyNumberFormat="1" applyFont="1" applyBorder="1" applyAlignment="1" applyProtection="1"/>
    <xf numFmtId="0" fontId="19" fillId="0" borderId="7" xfId="0" applyFont="1" applyBorder="1" applyAlignment="1" applyProtection="1">
      <alignment vertical="center" wrapText="1"/>
    </xf>
    <xf numFmtId="165" fontId="15" fillId="0" borderId="19" xfId="13" applyNumberFormat="1" applyFont="1" applyBorder="1" applyAlignment="1" applyProtection="1">
      <alignment horizontal="center" vertical="center" wrapText="1"/>
    </xf>
    <xf numFmtId="0" fontId="7" fillId="0" borderId="17" xfId="13" applyFont="1" applyBorder="1" applyAlignment="1" applyProtection="1">
      <alignment horizontal="center" vertical="center" wrapText="1"/>
    </xf>
    <xf numFmtId="0" fontId="8" fillId="0" borderId="22" xfId="13" applyFont="1" applyBorder="1" applyAlignment="1" applyProtection="1">
      <alignment horizontal="left" vertical="center" wrapText="1"/>
    </xf>
    <xf numFmtId="0" fontId="8" fillId="0" borderId="17" xfId="13" applyFont="1" applyBorder="1" applyAlignment="1" applyProtection="1">
      <alignment horizontal="center" vertical="center" wrapText="1"/>
    </xf>
    <xf numFmtId="0" fontId="8" fillId="0" borderId="17" xfId="13" applyFont="1" applyBorder="1" applyAlignment="1" applyProtection="1">
      <alignment horizontal="left" vertical="center" wrapText="1"/>
    </xf>
    <xf numFmtId="0" fontId="14" fillId="0" borderId="18" xfId="0" applyFont="1" applyBorder="1" applyAlignment="1" applyProtection="1">
      <alignment horizontal="left" vertical="top" wrapText="1"/>
    </xf>
    <xf numFmtId="0" fontId="7" fillId="0" borderId="17" xfId="11" applyFont="1" applyBorder="1" applyAlignment="1" applyProtection="1">
      <alignment horizontal="center" vertical="center" wrapText="1"/>
    </xf>
    <xf numFmtId="0" fontId="8" fillId="0" borderId="7" xfId="13" applyFont="1" applyBorder="1" applyAlignment="1" applyProtection="1">
      <alignment horizontal="center" vertical="center" wrapText="1"/>
    </xf>
    <xf numFmtId="0" fontId="7" fillId="0" borderId="17" xfId="13" applyFont="1" applyBorder="1" applyAlignment="1" applyProtection="1">
      <alignment horizontal="left" vertical="center" wrapText="1"/>
    </xf>
    <xf numFmtId="0" fontId="7" fillId="0" borderId="20" xfId="13" applyFont="1" applyBorder="1" applyAlignment="1" applyProtection="1">
      <alignment horizontal="center" vertical="center" wrapText="1"/>
    </xf>
    <xf numFmtId="0" fontId="7" fillId="0" borderId="21" xfId="13" applyFont="1" applyBorder="1" applyAlignment="1" applyProtection="1">
      <alignment horizontal="center" vertical="center" wrapText="1"/>
    </xf>
    <xf numFmtId="0" fontId="7" fillId="0" borderId="19" xfId="13" applyFont="1" applyBorder="1" applyAlignment="1" applyProtection="1">
      <alignment horizontal="center" vertical="center" wrapText="1"/>
    </xf>
    <xf numFmtId="164" fontId="8" fillId="0" borderId="7" xfId="13" applyNumberFormat="1" applyFont="1" applyBorder="1" applyAlignment="1" applyProtection="1">
      <alignment horizontal="center" vertical="center" wrapText="1"/>
    </xf>
    <xf numFmtId="0" fontId="7" fillId="0" borderId="6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 wrapText="1"/>
    </xf>
    <xf numFmtId="0" fontId="7" fillId="0" borderId="18" xfId="13" applyFont="1" applyBorder="1" applyAlignment="1" applyProtection="1">
      <alignment horizontal="center" vertical="center" wrapText="1"/>
    </xf>
    <xf numFmtId="0" fontId="7" fillId="0" borderId="9" xfId="13" applyFont="1" applyBorder="1" applyAlignment="1" applyProtection="1">
      <alignment horizontal="center" vertical="center" wrapText="1"/>
    </xf>
    <xf numFmtId="0" fontId="12" fillId="0" borderId="14" xfId="0" applyFont="1" applyBorder="1" applyAlignment="1" applyProtection="1">
      <alignment horizontal="center" vertical="top"/>
    </xf>
    <xf numFmtId="0" fontId="11" fillId="0" borderId="6" xfId="13" applyFont="1" applyBorder="1" applyAlignment="1" applyProtection="1">
      <alignment horizontal="center" vertical="center" wrapText="1"/>
    </xf>
    <xf numFmtId="0" fontId="11" fillId="0" borderId="7" xfId="13" applyFont="1" applyBorder="1" applyAlignment="1" applyProtection="1">
      <alignment horizontal="center" vertical="center" wrapText="1"/>
    </xf>
    <xf numFmtId="0" fontId="7" fillId="0" borderId="7" xfId="13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top" wrapText="1"/>
    </xf>
    <xf numFmtId="0" fontId="13" fillId="0" borderId="19" xfId="0" applyFont="1" applyBorder="1" applyAlignment="1" applyProtection="1">
      <alignment horizontal="left" vertical="top" wrapText="1"/>
    </xf>
    <xf numFmtId="0" fontId="10" fillId="0" borderId="0" xfId="13" applyFont="1" applyBorder="1" applyAlignment="1" applyProtection="1">
      <alignment horizontal="center" vertical="center" wrapText="1"/>
    </xf>
    <xf numFmtId="49" fontId="7" fillId="0" borderId="2" xfId="10" applyNumberFormat="1" applyFont="1" applyBorder="1" applyAlignment="1" applyProtection="1">
      <alignment horizontal="center" vertical="center" wrapText="1"/>
    </xf>
    <xf numFmtId="49" fontId="7" fillId="0" borderId="3" xfId="10" applyNumberFormat="1" applyFont="1" applyBorder="1" applyAlignment="1" applyProtection="1">
      <alignment horizontal="center" vertical="center" wrapText="1"/>
    </xf>
    <xf numFmtId="49" fontId="8" fillId="0" borderId="4" xfId="10" applyNumberFormat="1" applyFont="1" applyBorder="1" applyAlignment="1" applyProtection="1">
      <alignment horizontal="center" vertical="center" wrapText="1"/>
    </xf>
    <xf numFmtId="0" fontId="7" fillId="0" borderId="4" xfId="13" applyFont="1" applyBorder="1" applyAlignment="1" applyProtection="1">
      <alignment horizontal="center" vertical="center"/>
    </xf>
    <xf numFmtId="0" fontId="11" fillId="0" borderId="4" xfId="13" applyFont="1" applyBorder="1" applyAlignment="1" applyProtection="1">
      <alignment horizontal="center" vertical="center" wrapText="1"/>
    </xf>
    <xf numFmtId="0" fontId="7" fillId="0" borderId="5" xfId="13" applyFont="1" applyBorder="1" applyAlignment="1" applyProtection="1">
      <alignment horizontal="center" vertical="center"/>
    </xf>
    <xf numFmtId="0" fontId="11" fillId="0" borderId="6" xfId="13" applyFont="1" applyBorder="1" applyAlignment="1" applyProtection="1">
      <alignment horizontal="center" vertical="center"/>
    </xf>
    <xf numFmtId="0" fontId="7" fillId="0" borderId="8" xfId="13" applyFont="1" applyBorder="1" applyAlignment="1" applyProtection="1">
      <alignment horizontal="center" vertical="center"/>
    </xf>
    <xf numFmtId="0" fontId="7" fillId="0" borderId="8" xfId="13" applyFont="1" applyBorder="1" applyAlignment="1" applyProtection="1">
      <alignment horizontal="center" vertical="center" wrapText="1"/>
    </xf>
    <xf numFmtId="0" fontId="10" fillId="0" borderId="0" xfId="13" applyFont="1" applyBorder="1" applyAlignment="1" applyProtection="1">
      <alignment horizontal="center" vertical="center"/>
    </xf>
  </cellXfs>
  <cellStyles count="14">
    <cellStyle name="Обычный" xfId="0" builtinId="0"/>
    <cellStyle name="Обычный 13" xfId="2"/>
    <cellStyle name="Обычный 13 2" xfId="3"/>
    <cellStyle name="Обычный 14" xfId="4"/>
    <cellStyle name="Обычный 14 2" xfId="5"/>
    <cellStyle name="Обычный 21_СВОД по районам" xfId="6"/>
    <cellStyle name="Обычный 3" xfId="7"/>
    <cellStyle name="Обычный 4" xfId="8"/>
    <cellStyle name="Обычный 5" xfId="9"/>
    <cellStyle name="Обычный_3-РЕМОНТ_МОСТОВ на 2011год" xfId="10"/>
    <cellStyle name="Обычный_ВЫПОЛНЕНИЕ программы ИЖС-2010 год" xfId="11"/>
    <cellStyle name="Обычный_мероприятия (приложение 2 к 139-пп)" xfId="12"/>
    <cellStyle name="Стиль 1" xfId="13"/>
    <cellStyle name="Финансовый" xfId="1" builtinId="3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04.12.204%20&#1073;&#1102;&#1076;&#1078;%2025-27%202&#1095;&#1090;%20&#1091;&#1090;&#1086;&#1095;&#1095;&#1095;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04.12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1:BA429"/>
  <sheetViews>
    <sheetView tabSelected="1" view="pageBreakPreview" zoomScale="75" zoomScaleNormal="75" zoomScaleSheetLayoutView="75" zoomScalePageLayoutView="72" workbookViewId="0">
      <pane xSplit="3" ySplit="9" topLeftCell="Y10" activePane="bottomRight" state="frozen"/>
      <selection pane="topRight" activeCell="D1" sqref="D1"/>
      <selection pane="bottomLeft" activeCell="A164" sqref="A164"/>
      <selection pane="bottomRight" activeCell="AK194" sqref="AK194"/>
    </sheetView>
  </sheetViews>
  <sheetFormatPr defaultColWidth="9.140625" defaultRowHeight="16.5"/>
  <cols>
    <col min="1" max="1" width="7.140625" style="1" customWidth="1"/>
    <col min="2" max="2" width="58.85546875" style="2" customWidth="1"/>
    <col min="3" max="3" width="13.7109375" style="2" customWidth="1"/>
    <col min="4" max="4" width="18.5703125" style="2" hidden="1" customWidth="1"/>
    <col min="5" max="5" width="13.42578125" style="2" customWidth="1"/>
    <col min="6" max="6" width="14.7109375" style="2" customWidth="1"/>
    <col min="7" max="7" width="22" style="2" customWidth="1"/>
    <col min="8" max="8" width="9.7109375" style="2" hidden="1" customWidth="1"/>
    <col min="9" max="9" width="16.140625" style="2" hidden="1" customWidth="1"/>
    <col min="10" max="10" width="16.42578125" style="2" hidden="1" customWidth="1"/>
    <col min="11" max="11" width="14.140625" style="2" hidden="1" customWidth="1"/>
    <col min="12" max="12" width="10.85546875" style="2" hidden="1" customWidth="1"/>
    <col min="13" max="13" width="16.7109375" style="2" hidden="1" customWidth="1"/>
    <col min="14" max="14" width="19" style="2" hidden="1" customWidth="1"/>
    <col min="15" max="15" width="16.5703125" style="2" hidden="1" customWidth="1"/>
    <col min="16" max="16" width="11.5703125" style="2" hidden="1" customWidth="1"/>
    <col min="17" max="17" width="17.7109375" style="2" hidden="1" customWidth="1"/>
    <col min="18" max="18" width="19.28515625" style="2" hidden="1" customWidth="1"/>
    <col min="19" max="19" width="18.28515625" style="2" hidden="1" customWidth="1"/>
    <col min="20" max="20" width="11.28515625" style="2" customWidth="1"/>
    <col min="21" max="21" width="11.85546875" style="2" customWidth="1"/>
    <col min="22" max="22" width="19" style="2" customWidth="1"/>
    <col min="23" max="23" width="21" style="2" customWidth="1"/>
    <col min="24" max="24" width="18.140625" style="2" customWidth="1"/>
    <col min="25" max="25" width="18.5703125" style="2" customWidth="1"/>
    <col min="26" max="26" width="12.28515625" style="2" customWidth="1"/>
    <col min="27" max="27" width="12" style="2" customWidth="1"/>
    <col min="28" max="28" width="19.28515625" style="2" customWidth="1"/>
    <col min="29" max="29" width="16.42578125" style="2" customWidth="1"/>
    <col min="30" max="30" width="18.42578125" style="2" customWidth="1"/>
    <col min="31" max="31" width="17.140625" style="2" customWidth="1"/>
    <col min="32" max="32" width="11.5703125" style="2" customWidth="1"/>
    <col min="33" max="33" width="10" style="2" customWidth="1"/>
    <col min="34" max="34" width="20.85546875" style="2" customWidth="1"/>
    <col min="35" max="35" width="17.28515625" style="2" customWidth="1"/>
    <col min="36" max="36" width="15.5703125" style="2" customWidth="1"/>
    <col min="37" max="37" width="52.7109375" style="2" customWidth="1"/>
    <col min="38" max="38" width="19.28515625" style="2" customWidth="1"/>
    <col min="39" max="39" width="19.7109375" style="2" customWidth="1"/>
    <col min="40" max="51" width="9.140625" style="2"/>
    <col min="52" max="52" width="10.28515625" style="2" customWidth="1"/>
    <col min="53" max="53" width="19.5703125" style="2" customWidth="1"/>
    <col min="54" max="16384" width="9.140625" style="2"/>
  </cols>
  <sheetData>
    <row r="1" spans="1:47" s="4" customFormat="1" ht="78.75" customHeight="1">
      <c r="A1" s="3"/>
      <c r="G1" s="5"/>
      <c r="H1" s="6"/>
      <c r="I1" s="6"/>
      <c r="J1" s="6"/>
      <c r="K1" s="6"/>
      <c r="M1" s="7"/>
      <c r="N1" s="7"/>
      <c r="O1" s="7"/>
      <c r="P1" s="7"/>
      <c r="R1" s="7"/>
      <c r="S1" s="7"/>
      <c r="T1" s="8"/>
      <c r="U1" s="9"/>
      <c r="V1" s="9"/>
      <c r="W1" s="9"/>
      <c r="X1" s="9"/>
      <c r="Y1" s="9"/>
      <c r="Z1" s="168" t="s">
        <v>195</v>
      </c>
      <c r="AA1" s="168"/>
      <c r="AB1" s="168"/>
      <c r="AC1" s="168"/>
      <c r="AD1" s="168"/>
      <c r="AE1" s="168"/>
      <c r="AF1" s="168"/>
      <c r="AG1" s="168"/>
      <c r="AH1" s="168"/>
      <c r="AI1" s="10"/>
      <c r="AJ1" s="10"/>
      <c r="AK1" s="11"/>
      <c r="AL1" s="11"/>
      <c r="AM1" s="11"/>
      <c r="AN1" s="11"/>
      <c r="AO1" s="11"/>
    </row>
    <row r="2" spans="1:47" s="4" customFormat="1" ht="19.5" customHeight="1">
      <c r="A2" s="3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  <c r="Z2" s="9"/>
      <c r="AA2" s="9"/>
      <c r="AB2" s="9"/>
      <c r="AC2" s="9"/>
      <c r="AD2" s="9"/>
      <c r="AE2" s="9"/>
      <c r="AF2" s="9"/>
      <c r="AG2" s="9"/>
      <c r="AH2" s="9"/>
      <c r="AI2" s="9"/>
      <c r="AJ2" s="9"/>
      <c r="AK2" s="12"/>
      <c r="AL2" s="12"/>
    </row>
    <row r="3" spans="1:47" s="4" customFormat="1" ht="36.75" customHeight="1">
      <c r="A3" s="178" t="s">
        <v>0</v>
      </c>
      <c r="B3" s="178"/>
      <c r="C3" s="178"/>
      <c r="D3" s="178"/>
      <c r="E3" s="178"/>
      <c r="F3" s="178"/>
      <c r="G3" s="178"/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178"/>
      <c r="AK3" s="12"/>
      <c r="AL3" s="12"/>
    </row>
    <row r="4" spans="1:47" s="4" customFormat="1" ht="28.5" customHeight="1" thickBot="1">
      <c r="A4" s="3"/>
      <c r="AF4" s="13"/>
      <c r="AG4" s="13"/>
      <c r="AH4" s="13"/>
      <c r="AI4" s="13"/>
      <c r="AJ4" s="13"/>
      <c r="AK4" s="12"/>
      <c r="AL4" s="12"/>
    </row>
    <row r="5" spans="1:47" s="4" customFormat="1" ht="34.5" customHeight="1" thickBot="1">
      <c r="A5" s="169" t="s">
        <v>1</v>
      </c>
      <c r="B5" s="170" t="s">
        <v>2</v>
      </c>
      <c r="C5" s="170" t="s">
        <v>3</v>
      </c>
      <c r="D5" s="171" t="s">
        <v>4</v>
      </c>
      <c r="E5" s="172" t="s">
        <v>5</v>
      </c>
      <c r="F5" s="172"/>
      <c r="G5" s="172"/>
      <c r="H5" s="173" t="s">
        <v>6</v>
      </c>
      <c r="I5" s="173"/>
      <c r="J5" s="173"/>
      <c r="K5" s="173"/>
      <c r="L5" s="173" t="s">
        <v>7</v>
      </c>
      <c r="M5" s="173"/>
      <c r="N5" s="173"/>
      <c r="O5" s="173"/>
      <c r="P5" s="173" t="s">
        <v>8</v>
      </c>
      <c r="Q5" s="173"/>
      <c r="R5" s="173"/>
      <c r="S5" s="173"/>
      <c r="T5" s="174" t="s">
        <v>9</v>
      </c>
      <c r="U5" s="174"/>
      <c r="V5" s="174"/>
      <c r="W5" s="174"/>
      <c r="X5" s="174"/>
      <c r="Y5" s="174"/>
      <c r="Z5" s="174"/>
      <c r="AA5" s="174"/>
      <c r="AB5" s="174"/>
      <c r="AC5" s="174"/>
      <c r="AD5" s="174"/>
      <c r="AE5" s="174"/>
      <c r="AF5" s="174"/>
      <c r="AG5" s="174"/>
      <c r="AH5" s="174"/>
      <c r="AI5" s="174"/>
      <c r="AJ5" s="174"/>
      <c r="AK5" s="14"/>
      <c r="AL5" s="14"/>
      <c r="AM5" s="15"/>
      <c r="AN5" s="15"/>
      <c r="AO5" s="15"/>
      <c r="AP5" s="15"/>
      <c r="AQ5" s="15"/>
      <c r="AR5" s="15"/>
      <c r="AS5" s="15"/>
      <c r="AT5" s="15"/>
      <c r="AU5" s="15"/>
    </row>
    <row r="6" spans="1:47" s="4" customFormat="1" ht="29.25" customHeight="1" thickBot="1">
      <c r="A6" s="169"/>
      <c r="B6" s="170"/>
      <c r="C6" s="170"/>
      <c r="D6" s="170"/>
      <c r="E6" s="172"/>
      <c r="F6" s="172"/>
      <c r="G6" s="172"/>
      <c r="H6" s="175" t="s">
        <v>10</v>
      </c>
      <c r="I6" s="164" t="s">
        <v>11</v>
      </c>
      <c r="J6" s="164"/>
      <c r="K6" s="164"/>
      <c r="L6" s="175" t="s">
        <v>10</v>
      </c>
      <c r="M6" s="164" t="s">
        <v>11</v>
      </c>
      <c r="N6" s="164"/>
      <c r="O6" s="164"/>
      <c r="P6" s="175" t="s">
        <v>10</v>
      </c>
      <c r="Q6" s="164" t="s">
        <v>11</v>
      </c>
      <c r="R6" s="164"/>
      <c r="S6" s="164"/>
      <c r="T6" s="165" t="s">
        <v>12</v>
      </c>
      <c r="U6" s="165"/>
      <c r="V6" s="165"/>
      <c r="W6" s="165"/>
      <c r="X6" s="165"/>
      <c r="Y6" s="165"/>
      <c r="Z6" s="165" t="s">
        <v>13</v>
      </c>
      <c r="AA6" s="165"/>
      <c r="AB6" s="165"/>
      <c r="AC6" s="165"/>
      <c r="AD6" s="165"/>
      <c r="AE6" s="165"/>
      <c r="AF6" s="176" t="s">
        <v>14</v>
      </c>
      <c r="AG6" s="176"/>
      <c r="AH6" s="176"/>
      <c r="AI6" s="176"/>
      <c r="AJ6" s="176"/>
      <c r="AK6" s="14"/>
      <c r="AL6" s="14"/>
      <c r="AM6" s="15"/>
      <c r="AN6" s="15"/>
      <c r="AO6" s="15"/>
      <c r="AP6" s="15"/>
      <c r="AQ6" s="15"/>
      <c r="AR6" s="15"/>
      <c r="AS6" s="15"/>
      <c r="AT6" s="15"/>
      <c r="AU6" s="15"/>
    </row>
    <row r="7" spans="1:47" s="4" customFormat="1" ht="45.75" customHeight="1" thickBot="1">
      <c r="A7" s="169"/>
      <c r="B7" s="170"/>
      <c r="C7" s="170"/>
      <c r="D7" s="170"/>
      <c r="E7" s="165" t="s">
        <v>15</v>
      </c>
      <c r="F7" s="165"/>
      <c r="G7" s="158" t="s">
        <v>16</v>
      </c>
      <c r="H7" s="175"/>
      <c r="I7" s="163" t="s">
        <v>17</v>
      </c>
      <c r="J7" s="164" t="s">
        <v>18</v>
      </c>
      <c r="K7" s="164"/>
      <c r="L7" s="175"/>
      <c r="M7" s="163" t="s">
        <v>17</v>
      </c>
      <c r="N7" s="164" t="s">
        <v>18</v>
      </c>
      <c r="O7" s="164"/>
      <c r="P7" s="175"/>
      <c r="Q7" s="163" t="s">
        <v>17</v>
      </c>
      <c r="R7" s="164" t="s">
        <v>18</v>
      </c>
      <c r="S7" s="164"/>
      <c r="T7" s="160" t="s">
        <v>186</v>
      </c>
      <c r="U7" s="156"/>
      <c r="V7" s="158" t="s">
        <v>11</v>
      </c>
      <c r="W7" s="159" t="s">
        <v>18</v>
      </c>
      <c r="X7" s="159"/>
      <c r="Y7" s="159"/>
      <c r="Z7" s="160" t="s">
        <v>186</v>
      </c>
      <c r="AA7" s="156"/>
      <c r="AB7" s="158" t="s">
        <v>11</v>
      </c>
      <c r="AC7" s="159" t="s">
        <v>18</v>
      </c>
      <c r="AD7" s="159"/>
      <c r="AE7" s="159"/>
      <c r="AF7" s="160" t="s">
        <v>186</v>
      </c>
      <c r="AG7" s="156"/>
      <c r="AH7" s="161" t="s">
        <v>11</v>
      </c>
      <c r="AI7" s="177" t="s">
        <v>18</v>
      </c>
      <c r="AJ7" s="177"/>
      <c r="AK7" s="14"/>
      <c r="AL7" s="14"/>
      <c r="AM7" s="15"/>
      <c r="AN7" s="15"/>
      <c r="AO7" s="15"/>
      <c r="AP7" s="15"/>
      <c r="AQ7" s="15"/>
      <c r="AR7" s="15"/>
      <c r="AS7" s="15"/>
      <c r="AT7" s="15"/>
      <c r="AU7" s="15"/>
    </row>
    <row r="8" spans="1:47" s="4" customFormat="1" ht="77.25" customHeight="1">
      <c r="A8" s="169"/>
      <c r="B8" s="170"/>
      <c r="C8" s="170"/>
      <c r="D8" s="171"/>
      <c r="E8" s="16" t="s">
        <v>10</v>
      </c>
      <c r="F8" s="16" t="s">
        <v>19</v>
      </c>
      <c r="G8" s="158"/>
      <c r="H8" s="175"/>
      <c r="I8" s="163"/>
      <c r="J8" s="141" t="s">
        <v>20</v>
      </c>
      <c r="K8" s="141" t="s">
        <v>21</v>
      </c>
      <c r="L8" s="175"/>
      <c r="M8" s="163"/>
      <c r="N8" s="141" t="s">
        <v>20</v>
      </c>
      <c r="O8" s="141" t="s">
        <v>21</v>
      </c>
      <c r="P8" s="175"/>
      <c r="Q8" s="163"/>
      <c r="R8" s="141" t="s">
        <v>20</v>
      </c>
      <c r="S8" s="141" t="s">
        <v>22</v>
      </c>
      <c r="T8" s="16" t="s">
        <v>10</v>
      </c>
      <c r="U8" s="16" t="s">
        <v>19</v>
      </c>
      <c r="V8" s="158"/>
      <c r="W8" s="140" t="s">
        <v>21</v>
      </c>
      <c r="X8" s="140" t="s">
        <v>20</v>
      </c>
      <c r="Y8" s="139" t="s">
        <v>188</v>
      </c>
      <c r="Z8" s="16" t="s">
        <v>10</v>
      </c>
      <c r="AA8" s="16" t="s">
        <v>19</v>
      </c>
      <c r="AB8" s="158"/>
      <c r="AC8" s="140" t="s">
        <v>21</v>
      </c>
      <c r="AD8" s="140" t="s">
        <v>20</v>
      </c>
      <c r="AE8" s="139" t="s">
        <v>188</v>
      </c>
      <c r="AF8" s="16" t="s">
        <v>10</v>
      </c>
      <c r="AG8" s="16" t="s">
        <v>19</v>
      </c>
      <c r="AH8" s="161"/>
      <c r="AI8" s="140" t="s">
        <v>21</v>
      </c>
      <c r="AJ8" s="142" t="s">
        <v>187</v>
      </c>
      <c r="AK8" s="17"/>
      <c r="AL8" s="14"/>
      <c r="AM8" s="15"/>
      <c r="AN8" s="15"/>
      <c r="AO8" s="15"/>
      <c r="AP8" s="15"/>
      <c r="AQ8" s="15"/>
      <c r="AR8" s="15"/>
      <c r="AS8" s="15"/>
      <c r="AT8" s="15"/>
      <c r="AU8" s="15"/>
    </row>
    <row r="9" spans="1:47" s="4" customFormat="1" ht="23.25" customHeight="1" thickBot="1">
      <c r="A9" s="130">
        <v>1</v>
      </c>
      <c r="B9" s="131">
        <v>2</v>
      </c>
      <c r="C9" s="131">
        <v>3</v>
      </c>
      <c r="D9" s="18"/>
      <c r="E9" s="131">
        <v>4</v>
      </c>
      <c r="F9" s="131">
        <v>5</v>
      </c>
      <c r="G9" s="131">
        <v>6</v>
      </c>
      <c r="H9" s="131">
        <v>7</v>
      </c>
      <c r="I9" s="131"/>
      <c r="J9" s="131"/>
      <c r="K9" s="131"/>
      <c r="L9" s="131"/>
      <c r="M9" s="131"/>
      <c r="N9" s="131"/>
      <c r="O9" s="131"/>
      <c r="P9" s="131"/>
      <c r="Q9" s="131">
        <v>6</v>
      </c>
      <c r="R9" s="131">
        <v>7</v>
      </c>
      <c r="S9" s="131">
        <v>8</v>
      </c>
      <c r="T9" s="131">
        <v>7</v>
      </c>
      <c r="U9" s="131">
        <v>8</v>
      </c>
      <c r="V9" s="131">
        <v>9</v>
      </c>
      <c r="W9" s="131">
        <v>10</v>
      </c>
      <c r="X9" s="131">
        <v>11</v>
      </c>
      <c r="Y9" s="131">
        <v>12</v>
      </c>
      <c r="Z9" s="131">
        <v>13</v>
      </c>
      <c r="AA9" s="131">
        <v>14</v>
      </c>
      <c r="AB9" s="131">
        <v>15</v>
      </c>
      <c r="AC9" s="131">
        <v>16</v>
      </c>
      <c r="AD9" s="131">
        <v>17</v>
      </c>
      <c r="AE9" s="131">
        <v>18</v>
      </c>
      <c r="AF9" s="131">
        <v>19</v>
      </c>
      <c r="AG9" s="131">
        <v>20</v>
      </c>
      <c r="AH9" s="132">
        <v>21</v>
      </c>
      <c r="AI9" s="131">
        <v>22</v>
      </c>
      <c r="AJ9" s="133">
        <v>23</v>
      </c>
      <c r="AK9" s="17"/>
      <c r="AL9" s="14"/>
      <c r="AM9" s="15"/>
      <c r="AN9" s="15"/>
      <c r="AO9" s="15"/>
      <c r="AP9" s="15"/>
      <c r="AQ9" s="15"/>
      <c r="AR9" s="15"/>
      <c r="AS9" s="15"/>
      <c r="AT9" s="15"/>
      <c r="AU9" s="15"/>
    </row>
    <row r="10" spans="1:47" s="4" customFormat="1" ht="33" customHeight="1">
      <c r="A10" s="162" t="s">
        <v>23</v>
      </c>
      <c r="B10" s="162"/>
      <c r="C10" s="162"/>
      <c r="D10" s="162"/>
      <c r="E10" s="162"/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2"/>
      <c r="U10" s="162"/>
      <c r="V10" s="162"/>
      <c r="W10" s="162"/>
      <c r="X10" s="162"/>
      <c r="Y10" s="162"/>
      <c r="Z10" s="162"/>
      <c r="AA10" s="162"/>
      <c r="AB10" s="162"/>
      <c r="AC10" s="162"/>
      <c r="AD10" s="162"/>
      <c r="AE10" s="162"/>
      <c r="AF10" s="162"/>
      <c r="AG10" s="162"/>
      <c r="AH10" s="162"/>
      <c r="AI10" s="19"/>
      <c r="AJ10" s="20"/>
      <c r="AK10" s="17"/>
      <c r="AL10" s="14"/>
      <c r="AM10" s="15"/>
      <c r="AN10" s="15"/>
      <c r="AO10" s="15"/>
      <c r="AP10" s="15"/>
      <c r="AQ10" s="15"/>
      <c r="AR10" s="15"/>
      <c r="AS10" s="15"/>
      <c r="AT10" s="15"/>
      <c r="AU10" s="15"/>
    </row>
    <row r="11" spans="1:47" s="4" customFormat="1" ht="33" customHeight="1">
      <c r="A11" s="21" t="s">
        <v>24</v>
      </c>
      <c r="B11" s="166" t="s">
        <v>25</v>
      </c>
      <c r="C11" s="166"/>
      <c r="D11" s="166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6"/>
      <c r="P11" s="166"/>
      <c r="Q11" s="166"/>
      <c r="R11" s="166"/>
      <c r="S11" s="166"/>
      <c r="T11" s="166"/>
      <c r="U11" s="166"/>
      <c r="V11" s="166"/>
      <c r="W11" s="166"/>
      <c r="X11" s="166"/>
      <c r="Y11" s="166"/>
      <c r="Z11" s="166"/>
      <c r="AA11" s="166"/>
      <c r="AB11" s="166"/>
      <c r="AC11" s="166"/>
      <c r="AD11" s="166"/>
      <c r="AE11" s="166"/>
      <c r="AF11" s="166"/>
      <c r="AG11" s="166"/>
      <c r="AH11" s="166"/>
      <c r="AI11" s="22"/>
      <c r="AJ11" s="23"/>
      <c r="AK11" s="17"/>
      <c r="AL11" s="14"/>
      <c r="AM11" s="15"/>
      <c r="AN11" s="15"/>
      <c r="AO11" s="15"/>
      <c r="AP11" s="15"/>
      <c r="AQ11" s="15"/>
      <c r="AR11" s="15"/>
      <c r="AS11" s="15"/>
      <c r="AT11" s="15"/>
      <c r="AU11" s="15"/>
    </row>
    <row r="12" spans="1:47" s="4" customFormat="1" ht="31.5" customHeight="1">
      <c r="A12" s="21">
        <v>1</v>
      </c>
      <c r="B12" s="166" t="s">
        <v>26</v>
      </c>
      <c r="C12" s="167"/>
      <c r="D12" s="22"/>
      <c r="E12" s="138">
        <f>E14+E16+E18</f>
        <v>5.3</v>
      </c>
      <c r="F12" s="138"/>
      <c r="G12" s="138">
        <f>G14+G16+G18</f>
        <v>371284.1924</v>
      </c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138">
        <f>T14</f>
        <v>2.5</v>
      </c>
      <c r="U12" s="138"/>
      <c r="V12" s="138">
        <f>V14</f>
        <v>174477.09239999999</v>
      </c>
      <c r="W12" s="22"/>
      <c r="X12" s="138">
        <f>X14</f>
        <v>174477.09239999999</v>
      </c>
      <c r="Y12" s="22"/>
      <c r="Z12" s="138">
        <f>Z16</f>
        <v>2.8</v>
      </c>
      <c r="AA12" s="138"/>
      <c r="AB12" s="138">
        <f>AB16</f>
        <v>196807.1</v>
      </c>
      <c r="AC12" s="22"/>
      <c r="AD12" s="138">
        <f>AD16</f>
        <v>196807.1</v>
      </c>
      <c r="AE12" s="22"/>
      <c r="AF12" s="138"/>
      <c r="AG12" s="138"/>
      <c r="AH12" s="138"/>
      <c r="AI12" s="138"/>
      <c r="AJ12" s="25"/>
      <c r="AK12" s="17"/>
      <c r="AL12" s="14"/>
      <c r="AM12" s="15"/>
      <c r="AN12" s="15"/>
      <c r="AO12" s="15"/>
      <c r="AP12" s="15"/>
      <c r="AQ12" s="15"/>
      <c r="AR12" s="15"/>
      <c r="AS12" s="15"/>
      <c r="AT12" s="15"/>
      <c r="AU12" s="15"/>
    </row>
    <row r="13" spans="1:47" s="4" customFormat="1" ht="26.25" customHeight="1">
      <c r="A13" s="146" t="s">
        <v>27</v>
      </c>
      <c r="B13" s="146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136"/>
      <c r="AI13" s="22"/>
      <c r="AJ13" s="23"/>
      <c r="AK13" s="17"/>
      <c r="AL13" s="14"/>
      <c r="AM13" s="15"/>
      <c r="AN13" s="15"/>
      <c r="AO13" s="15"/>
      <c r="AP13" s="15"/>
      <c r="AQ13" s="15"/>
      <c r="AR13" s="15"/>
      <c r="AS13" s="15"/>
      <c r="AT13" s="15"/>
      <c r="AU13" s="15"/>
    </row>
    <row r="14" spans="1:47" s="4" customFormat="1" ht="30.75" customHeight="1">
      <c r="A14" s="26">
        <v>1</v>
      </c>
      <c r="B14" s="27" t="s">
        <v>28</v>
      </c>
      <c r="C14" s="27" t="s">
        <v>29</v>
      </c>
      <c r="D14" s="22"/>
      <c r="E14" s="28">
        <v>2.5</v>
      </c>
      <c r="F14" s="28"/>
      <c r="G14" s="29">
        <v>174477.09239999999</v>
      </c>
      <c r="H14" s="22"/>
      <c r="I14" s="22"/>
      <c r="J14" s="22"/>
      <c r="K14" s="22"/>
      <c r="L14" s="22"/>
      <c r="M14" s="22"/>
      <c r="N14" s="22"/>
      <c r="O14" s="22"/>
      <c r="P14" s="22"/>
      <c r="Q14" s="22"/>
      <c r="R14" s="22"/>
      <c r="S14" s="22"/>
      <c r="T14" s="28">
        <f>E14</f>
        <v>2.5</v>
      </c>
      <c r="U14" s="28"/>
      <c r="V14" s="29">
        <f>G14</f>
        <v>174477.09239999999</v>
      </c>
      <c r="W14" s="22"/>
      <c r="X14" s="29">
        <f>V14</f>
        <v>174477.09239999999</v>
      </c>
      <c r="Y14" s="22"/>
      <c r="Z14" s="22"/>
      <c r="AA14" s="22"/>
      <c r="AB14" s="22"/>
      <c r="AC14" s="22"/>
      <c r="AD14" s="22"/>
      <c r="AE14" s="22"/>
      <c r="AF14" s="22"/>
      <c r="AG14" s="22"/>
      <c r="AH14" s="136"/>
      <c r="AI14" s="22"/>
      <c r="AJ14" s="23"/>
      <c r="AK14" s="17"/>
      <c r="AL14" s="14"/>
      <c r="AM14" s="15"/>
      <c r="AN14" s="15"/>
      <c r="AO14" s="15"/>
      <c r="AP14" s="15"/>
      <c r="AQ14" s="15"/>
      <c r="AR14" s="15"/>
      <c r="AS14" s="15"/>
      <c r="AT14" s="15"/>
      <c r="AU14" s="15"/>
    </row>
    <row r="15" spans="1:47" s="4" customFormat="1" ht="24" customHeight="1">
      <c r="A15" s="146" t="s">
        <v>30</v>
      </c>
      <c r="B15" s="146"/>
      <c r="C15" s="30"/>
      <c r="D15" s="22"/>
      <c r="E15" s="138"/>
      <c r="F15" s="138"/>
      <c r="G15" s="138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138"/>
      <c r="U15" s="138"/>
      <c r="V15" s="138"/>
      <c r="W15" s="22"/>
      <c r="X15" s="138"/>
      <c r="Y15" s="22"/>
      <c r="Z15" s="22"/>
      <c r="AA15" s="22"/>
      <c r="AB15" s="22"/>
      <c r="AC15" s="22"/>
      <c r="AD15" s="22"/>
      <c r="AE15" s="22"/>
      <c r="AF15" s="22"/>
      <c r="AG15" s="22"/>
      <c r="AH15" s="136"/>
      <c r="AI15" s="22"/>
      <c r="AJ15" s="23"/>
      <c r="AK15" s="17"/>
      <c r="AL15" s="14"/>
      <c r="AM15" s="15"/>
      <c r="AN15" s="15"/>
      <c r="AO15" s="15"/>
      <c r="AP15" s="15"/>
      <c r="AQ15" s="15"/>
      <c r="AR15" s="15"/>
      <c r="AS15" s="15"/>
      <c r="AT15" s="15"/>
      <c r="AU15" s="15"/>
    </row>
    <row r="16" spans="1:47" s="4" customFormat="1" ht="41.25" customHeight="1">
      <c r="A16" s="26">
        <v>2</v>
      </c>
      <c r="B16" s="31" t="s">
        <v>31</v>
      </c>
      <c r="C16" s="27" t="s">
        <v>32</v>
      </c>
      <c r="D16" s="32"/>
      <c r="E16" s="33">
        <v>2.8</v>
      </c>
      <c r="F16" s="138"/>
      <c r="G16" s="29">
        <v>196807.1</v>
      </c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138"/>
      <c r="U16" s="138"/>
      <c r="V16" s="138"/>
      <c r="W16" s="22"/>
      <c r="X16" s="138"/>
      <c r="Y16" s="22"/>
      <c r="Z16" s="33">
        <f>E16</f>
        <v>2.8</v>
      </c>
      <c r="AA16" s="138"/>
      <c r="AB16" s="29">
        <f>G16</f>
        <v>196807.1</v>
      </c>
      <c r="AC16" s="22"/>
      <c r="AD16" s="29">
        <f>AB16</f>
        <v>196807.1</v>
      </c>
      <c r="AE16" s="22"/>
      <c r="AF16" s="22"/>
      <c r="AG16" s="22"/>
      <c r="AH16" s="136"/>
      <c r="AI16" s="22"/>
      <c r="AJ16" s="23"/>
      <c r="AK16" s="34"/>
      <c r="AL16" s="143">
        <f>AK20-G20</f>
        <v>0</v>
      </c>
      <c r="AM16" s="15"/>
      <c r="AN16" s="15"/>
      <c r="AO16" s="15"/>
      <c r="AP16" s="15"/>
      <c r="AQ16" s="15"/>
      <c r="AR16" s="15"/>
      <c r="AS16" s="15"/>
      <c r="AT16" s="15"/>
      <c r="AU16" s="15"/>
    </row>
    <row r="17" spans="1:53" s="4" customFormat="1" ht="27" hidden="1" customHeight="1">
      <c r="A17" s="146" t="s">
        <v>33</v>
      </c>
      <c r="B17" s="146"/>
      <c r="C17" s="30"/>
      <c r="D17" s="22"/>
      <c r="E17" s="138"/>
      <c r="F17" s="138"/>
      <c r="G17" s="138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138"/>
      <c r="U17" s="138"/>
      <c r="V17" s="138"/>
      <c r="W17" s="22"/>
      <c r="X17" s="138"/>
      <c r="Y17" s="22"/>
      <c r="Z17" s="138"/>
      <c r="AA17" s="138"/>
      <c r="AB17" s="138"/>
      <c r="AC17" s="22"/>
      <c r="AD17" s="138"/>
      <c r="AE17" s="22"/>
      <c r="AF17" s="22"/>
      <c r="AG17" s="22"/>
      <c r="AH17" s="136"/>
      <c r="AI17" s="22"/>
      <c r="AJ17" s="23"/>
      <c r="AK17" s="34"/>
      <c r="AL17" s="14"/>
      <c r="AM17" s="15"/>
      <c r="AN17" s="15"/>
      <c r="AO17" s="15"/>
      <c r="AP17" s="15"/>
      <c r="AQ17" s="15"/>
      <c r="AR17" s="15"/>
      <c r="AS17" s="15"/>
      <c r="AT17" s="15"/>
      <c r="AU17" s="15"/>
    </row>
    <row r="18" spans="1:53" s="4" customFormat="1" ht="50.25" hidden="1" customHeight="1">
      <c r="A18" s="26">
        <v>3</v>
      </c>
      <c r="B18" s="31" t="s">
        <v>34</v>
      </c>
      <c r="C18" s="27"/>
      <c r="D18" s="30"/>
      <c r="E18" s="28"/>
      <c r="F18" s="138"/>
      <c r="G18" s="29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138"/>
      <c r="U18" s="138"/>
      <c r="V18" s="124"/>
      <c r="W18" s="22"/>
      <c r="X18" s="138"/>
      <c r="Y18" s="22" t="s">
        <v>45</v>
      </c>
      <c r="Z18" s="138"/>
      <c r="AA18" s="138"/>
      <c r="AB18" s="138"/>
      <c r="AC18" s="22"/>
      <c r="AD18" s="138"/>
      <c r="AE18" s="22"/>
      <c r="AF18" s="33"/>
      <c r="AG18" s="138"/>
      <c r="AH18" s="29"/>
      <c r="AI18" s="22"/>
      <c r="AJ18" s="51"/>
      <c r="AK18" s="34"/>
      <c r="AL18" s="14"/>
      <c r="AM18" s="15"/>
      <c r="AN18" s="15"/>
      <c r="AO18" s="15"/>
      <c r="AP18" s="15"/>
      <c r="AQ18" s="15"/>
      <c r="AR18" s="15"/>
      <c r="AS18" s="15"/>
      <c r="AT18" s="15"/>
      <c r="AU18" s="15"/>
    </row>
    <row r="19" spans="1:53" s="4" customFormat="1" ht="30" customHeight="1">
      <c r="A19" s="21">
        <v>2</v>
      </c>
      <c r="B19" s="166" t="s">
        <v>35</v>
      </c>
      <c r="C19" s="167"/>
      <c r="D19" s="22"/>
      <c r="E19" s="35"/>
      <c r="F19" s="22"/>
      <c r="G19" s="35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35"/>
      <c r="AC19" s="22"/>
      <c r="AD19" s="35"/>
      <c r="AE19" s="22"/>
      <c r="AF19" s="22"/>
      <c r="AG19" s="22"/>
      <c r="AH19" s="136"/>
      <c r="AI19" s="22"/>
      <c r="AJ19" s="23"/>
      <c r="AK19" s="34"/>
      <c r="AL19" s="14"/>
      <c r="AM19" s="15"/>
      <c r="AN19" s="15"/>
      <c r="AO19" s="15"/>
      <c r="AP19" s="15"/>
      <c r="AQ19" s="15"/>
      <c r="AR19" s="15"/>
      <c r="AS19" s="15"/>
      <c r="AT19" s="15"/>
      <c r="AU19" s="15"/>
    </row>
    <row r="20" spans="1:53" s="41" customFormat="1" ht="29.1" customHeight="1">
      <c r="A20" s="36"/>
      <c r="B20" s="37" t="s">
        <v>36</v>
      </c>
      <c r="C20" s="38"/>
      <c r="D20" s="39"/>
      <c r="E20" s="138">
        <f>E22+E23</f>
        <v>368.43310000000002</v>
      </c>
      <c r="F20" s="29"/>
      <c r="G20" s="138">
        <f>G22+G23</f>
        <v>10393575.212219998</v>
      </c>
      <c r="H20" s="138" t="e">
        <f>#REF!+H39+H46+H54+H58+H68+H72+H77+H82+H89+H95+H99+H114+H127+H137+H142+H145</f>
        <v>#REF!</v>
      </c>
      <c r="I20" s="138" t="e">
        <f>#REF!+I39+I46+I54+I58+I68+I72+I77+I82+I89+I95+I99+I114+I127+I137+I142+I145</f>
        <v>#REF!</v>
      </c>
      <c r="J20" s="138" t="e">
        <f>#REF!+J39+J46+J54+J58+J68+J72+J77+J82+J89+J95+J99+J114+J127+J137+J142+J145</f>
        <v>#REF!</v>
      </c>
      <c r="K20" s="138" t="e">
        <f>#REF!+K39+K46+K54+K58+K68+K72+K77+K82+K89+K95+K99+K114+K127+K137+K142+K145</f>
        <v>#REF!</v>
      </c>
      <c r="L20" s="138" t="e">
        <f>#REF!+L39+L46+L54+L58+L68+L72+L77+L82+L89+L95+L99+L114+L127+L137+L142+L145</f>
        <v>#REF!</v>
      </c>
      <c r="M20" s="138" t="e">
        <f>#REF!+M39+M46+M54+M58+M68+M72+M77+M82+M89+M95+M99+M114+M127+M137+M142+M145</f>
        <v>#REF!</v>
      </c>
      <c r="N20" s="138" t="e">
        <f>#REF!+N39+N46+N54+N58+N68+N72+N77+N82+N89+N95+N99+N114+N127+N137+N142+N145</f>
        <v>#REF!</v>
      </c>
      <c r="O20" s="138" t="e">
        <f>#REF!+O39+O46+O54+O58+O68+O72+O77+O82+O89+O95+O99+O114+O127+O137+O142+O145</f>
        <v>#REF!</v>
      </c>
      <c r="P20" s="138" t="e">
        <f>#REF!+P39+P46+P54+P58+P68+P72+P77+P82+P89+P95+P99+P114+P127+P137+P142+P145</f>
        <v>#REF!</v>
      </c>
      <c r="Q20" s="138" t="e">
        <f>#REF!+Q39+Q46+Q54+Q58+Q68+Q72+Q77+Q82+Q89+Q95+Q99+Q114+Q127+Q137+Q142+Q145</f>
        <v>#REF!</v>
      </c>
      <c r="R20" s="138" t="e">
        <f>#REF!+R39+R46+R54+R58+R68+R72+R77+R82+R89+R95+R99+R114+R127+R137+R142+R145</f>
        <v>#REF!</v>
      </c>
      <c r="S20" s="138" t="e">
        <f>#REF!+S39+S46+S54+S58+S68+S72+S77+S82+S89+S95+S99+S114+S127+S137+S142+S145</f>
        <v>#REF!</v>
      </c>
      <c r="T20" s="138">
        <f>T39+T46+T54+T58+T68+T72+T77+T82+T89+T95+T99+T109+T114+T120+T127+T132+T137+T142+T145</f>
        <v>110.98110000000001</v>
      </c>
      <c r="U20" s="138"/>
      <c r="V20" s="138">
        <f>V39+V46+V54+V58+V68+V72+V77+V82+V89+V95+V99+V105+V114+V127+V137+V142+V145+V146</f>
        <v>2694770.9122200003</v>
      </c>
      <c r="W20" s="138">
        <f>W39+W46+W54+W58+W68+W72+W77+W82+W89+W95+W99+W105+W114+W127+W137+W142+W145+W146</f>
        <v>3.1999999999534339</v>
      </c>
      <c r="X20" s="138">
        <f>X39+X46+X54+X58+X68+X72+X77+X82+X89+X95+X99+X105+X114+X127+X137+X142+X145+X146</f>
        <v>2694767.7122200001</v>
      </c>
      <c r="Y20" s="138"/>
      <c r="Z20" s="138">
        <f>Z39+Z46+Z54+Z58+Z68+Z77+Z82+Z89+Z95+Z99+Z105+Z109+Z114+Z120+Z127+Z132+Z137+Z142-0.03</f>
        <v>151.57</v>
      </c>
      <c r="AA20" s="138"/>
      <c r="AB20" s="138">
        <f>AB39+AB46+AB54+AB58+AB68+AB72+AB77+AB82+AB89+AB95+AB99+AB105+AB109+AB114+AB120+AB127+AB132+AB137+AB142+AB146</f>
        <v>3771138.8000000003</v>
      </c>
      <c r="AC20" s="138">
        <f>AC39+AC46+AC54+AC58+AC68+AC72+AC77+AC82+AC89+AC95+AC99+AC105+AC109+AC114+AC120+AC127+AC132+AC137+AC142+AC146</f>
        <v>2858805.5999999996</v>
      </c>
      <c r="AD20" s="138">
        <f>AD39+AD46+AD54+AD58+AD68+AD72+AD77+AD82+AD89+AD95+AD99+AD105+AD109+AD114+AD120+AD127+AD132+AD137+AD142+AD146</f>
        <v>912333.2</v>
      </c>
      <c r="AE20" s="138"/>
      <c r="AF20" s="138">
        <f>AF26+AF39+AF46+AF54+AF58+AF68+AF77+AF82+AF89+AF95+AF99+AF105+AF109+AF114+AF120+AF127+AF132+AF137+AF142</f>
        <v>105.85199999999999</v>
      </c>
      <c r="AG20" s="138"/>
      <c r="AH20" s="138">
        <f>AH26+AH39+AH46+AH54+AH58+AH68+AH77+AH82+AH89+AH95+AH99+AH105+AH109+AH114+AH120+AH127+AH132+AH137+AH142</f>
        <v>3927665.5</v>
      </c>
      <c r="AI20" s="138">
        <f>AI26+AI39+AI46+AI54+AI58+AI68+AI77+AI82+AI89+AI95+AI99+AI105+AI109+AI114+AI120+AI127+AI132+AI137+AI142</f>
        <v>3456345.574138572</v>
      </c>
      <c r="AJ20" s="25">
        <f>AJ26+AJ39+AJ46+AJ54+AJ58+AJ68+AJ77+AJ82+AJ89+AJ95+AJ99+AJ105+AJ109+AJ114+AJ120+AJ127+AJ132+AJ137+AJ142</f>
        <v>471319.92586142797</v>
      </c>
      <c r="AK20" s="34">
        <f>AH20+AB20+V20</f>
        <v>10393575.212220002</v>
      </c>
      <c r="AL20" s="40">
        <f>AI20/AH20*100</f>
        <v>87.999998323140602</v>
      </c>
      <c r="AM20" s="45">
        <f>T20+Z20+AF20</f>
        <v>368.40309999999999</v>
      </c>
      <c r="BA20" s="24">
        <v>3792827.38</v>
      </c>
    </row>
    <row r="21" spans="1:53" s="41" customFormat="1" ht="19.5" customHeight="1">
      <c r="A21" s="36"/>
      <c r="B21" s="134" t="s">
        <v>18</v>
      </c>
      <c r="C21" s="38"/>
      <c r="D21" s="39"/>
      <c r="E21" s="138"/>
      <c r="F21" s="138"/>
      <c r="G21" s="138"/>
      <c r="H21" s="138"/>
      <c r="I21" s="42"/>
      <c r="J21" s="42"/>
      <c r="K21" s="38"/>
      <c r="L21" s="138"/>
      <c r="M21" s="42"/>
      <c r="N21" s="42"/>
      <c r="O21" s="42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38"/>
      <c r="AB21" s="43"/>
      <c r="AC21" s="43"/>
      <c r="AD21" s="43"/>
      <c r="AE21" s="138"/>
      <c r="AF21" s="138"/>
      <c r="AG21" s="138"/>
      <c r="AH21" s="44"/>
      <c r="AI21" s="138"/>
      <c r="AJ21" s="25"/>
      <c r="AK21" s="45"/>
      <c r="AL21" s="12"/>
      <c r="BA21" s="46"/>
    </row>
    <row r="22" spans="1:53" s="41" customFormat="1" ht="26.25" customHeight="1">
      <c r="A22" s="36"/>
      <c r="B22" s="37" t="s">
        <v>37</v>
      </c>
      <c r="C22" s="47"/>
      <c r="D22" s="39"/>
      <c r="E22" s="138">
        <f>E25+E37+E44+E50+E51+E52+E53+E56+E57+E61+E65+E66+E67+E74+E75+E79+E80+E81+E87+E91+E92+E93+E94+E97+E98+E101+E102+E103+E104+E107+E108+E111+E112+E113+E116+E117+E118+E119+E125+E129+E130+E131+E134+E135+E139+E140+E146</f>
        <v>260.34300000000002</v>
      </c>
      <c r="F22" s="29"/>
      <c r="G22" s="138">
        <f>G25+G37+G44+G50+G51+G52+G53+G56+G57+G61+G65+G66+G67+G74+G75+G79+G80+G81+G87+G91+G92+G93+G94+G97+G98+G101+G102+G103+G104+G107+G108+G111+G112+G113+G116+G117+G118+G119+G125+G129+G130+G131+G134+G135+G139+G140+G146</f>
        <v>8477344.4122199975</v>
      </c>
      <c r="H22" s="138"/>
      <c r="I22" s="42"/>
      <c r="J22" s="42"/>
      <c r="K22" s="38"/>
      <c r="L22" s="138"/>
      <c r="M22" s="42"/>
      <c r="N22" s="42"/>
      <c r="O22" s="42"/>
      <c r="P22" s="138"/>
      <c r="Q22" s="138"/>
      <c r="R22" s="138"/>
      <c r="S22" s="138"/>
      <c r="T22" s="138">
        <f>T37+T44+T61+T79+T91+T111+T125+T134+T139</f>
        <v>36.61</v>
      </c>
      <c r="U22" s="138"/>
      <c r="V22" s="138">
        <f>V28+V34+V44+V61+V79+V91+V101+V111+V125+V134+V139+V146</f>
        <v>1244847.9122199998</v>
      </c>
      <c r="W22" s="138">
        <f>W37+W44+W61+W79+W91+W101+W111+W125+W134+W146</f>
        <v>3.1999999999534339</v>
      </c>
      <c r="X22" s="138">
        <f>X28+X34+X44+X61+X79+X91+X101+X111+X125+X134+X139+X146</f>
        <v>1244844.7122199999</v>
      </c>
      <c r="Y22" s="138"/>
      <c r="Z22" s="138">
        <f>Z28+Z29+Z30+Z34+Z35+Z36+Z42+Z50+Z51+Z56+Z65+Z66+Z74+Z80+Z84+Z92+Z97+Z101+Z102+Z103+Z107+Z112+Z116+Z117+Z123+Z129+Z130+Z139+Z146</f>
        <v>117.881</v>
      </c>
      <c r="AA22" s="138"/>
      <c r="AB22" s="138">
        <f>AB28+AB29+AB30+AB34+AB35+AB36+AB42+AB50+AB51+AB56+AB65+AB66+AB74+AB80+AB84+AB92+AB97+AB101+AB102+AB103+AB107+AB112+AB116+AB117+AB123+AB129+AB130+AB135+AB139+AB146</f>
        <v>3304831.0000000005</v>
      </c>
      <c r="AC22" s="138">
        <f>AC28+AC29+AC30+AC34+AC35+AC36+AC42+AC50+AC51+AC56+AC65+AC66+AC74+AC80+AC84+AC92+AC97+AC101+AC102+AC103+AC107+AC112+AC116+AC117+AC123+AC129+AC130+AC135+AC139+AC146</f>
        <v>2858805.5999999996</v>
      </c>
      <c r="AD22" s="138">
        <f>AD28+AD29+AD30+AD34+AD35+AD36+AD42+AD50+AD51+AD56+AD65+AD66+AD74+AD80+AD84+AD92+AD97+AD101+AD102+AD103+AD107+AD112+AD116+AD117+AD123+AD129+AD130+AD135+AD139+AD146</f>
        <v>446025.40000000014</v>
      </c>
      <c r="AE22" s="138"/>
      <c r="AF22" s="138">
        <f>AF20</f>
        <v>105.85199999999999</v>
      </c>
      <c r="AG22" s="138"/>
      <c r="AH22" s="44">
        <f>AH20</f>
        <v>3927665.5</v>
      </c>
      <c r="AI22" s="138">
        <f>AI20</f>
        <v>3456345.574138572</v>
      </c>
      <c r="AJ22" s="25">
        <f>AJ20</f>
        <v>471319.92586142797</v>
      </c>
      <c r="AK22" s="34">
        <f>AH22+AB22+V22</f>
        <v>8477344.4122199994</v>
      </c>
      <c r="AL22" s="48">
        <f>AF22+Z22+T22</f>
        <v>260.34300000000002</v>
      </c>
      <c r="AM22" s="45">
        <f>AK22-G22</f>
        <v>0</v>
      </c>
      <c r="BA22" s="46"/>
    </row>
    <row r="23" spans="1:53" s="41" customFormat="1" ht="25.5" customHeight="1">
      <c r="A23" s="36"/>
      <c r="B23" s="49" t="s">
        <v>38</v>
      </c>
      <c r="C23" s="47"/>
      <c r="D23" s="38"/>
      <c r="E23" s="138">
        <f>E38+E45+E76+E88+E126+E136+E141+E144</f>
        <v>108.09009999999999</v>
      </c>
      <c r="F23" s="138"/>
      <c r="G23" s="138">
        <f>G38+G45+G76+G88+G126+G136+G141</f>
        <v>1916230.8</v>
      </c>
      <c r="H23" s="138"/>
      <c r="I23" s="42"/>
      <c r="J23" s="42"/>
      <c r="K23" s="38"/>
      <c r="L23" s="138"/>
      <c r="M23" s="42"/>
      <c r="N23" s="42"/>
      <c r="O23" s="42"/>
      <c r="P23" s="138"/>
      <c r="Q23" s="138"/>
      <c r="R23" s="138"/>
      <c r="S23" s="138"/>
      <c r="T23" s="138">
        <f>T38+T45+T76+T88+T126+T136+T141+T144</f>
        <v>74.371099999999998</v>
      </c>
      <c r="U23" s="138"/>
      <c r="V23" s="138">
        <f>V38+V45+V76+V88+V126+V136+V141+V144</f>
        <v>1449923</v>
      </c>
      <c r="W23" s="138"/>
      <c r="X23" s="138">
        <f>X38+X45+X76+X88+X126+X136+X141+X144</f>
        <v>1449923</v>
      </c>
      <c r="Y23" s="138"/>
      <c r="Z23" s="138">
        <f>Z38+Z45+Z76+Z88+Z126+Z136+Z141+Z144</f>
        <v>33.719000000000001</v>
      </c>
      <c r="AA23" s="138"/>
      <c r="AB23" s="138">
        <f>AB38+AB45+AB76+AB88+AB126+AB136+AB141+AB144</f>
        <v>466307.8</v>
      </c>
      <c r="AC23" s="138"/>
      <c r="AD23" s="138">
        <f>AD38+AD45+AD76+AD88+AD126+AD136+AD141+AD144</f>
        <v>466307.8</v>
      </c>
      <c r="AE23" s="138"/>
      <c r="AF23" s="138"/>
      <c r="AG23" s="138"/>
      <c r="AH23" s="44"/>
      <c r="AI23" s="138"/>
      <c r="AJ23" s="25"/>
      <c r="AK23" s="34">
        <f>AH23+AB23+V23</f>
        <v>1916230.8</v>
      </c>
      <c r="AL23" s="48">
        <f>AF23+Z23+T23</f>
        <v>108.09010000000001</v>
      </c>
      <c r="BA23" s="46"/>
    </row>
    <row r="24" spans="1:53" s="41" customFormat="1" ht="27.75" customHeight="1">
      <c r="A24" s="146" t="s">
        <v>27</v>
      </c>
      <c r="B24" s="146"/>
      <c r="C24" s="38"/>
      <c r="D24" s="38"/>
      <c r="E24" s="138"/>
      <c r="F24" s="138"/>
      <c r="G24" s="138"/>
      <c r="H24" s="138"/>
      <c r="I24" s="42"/>
      <c r="J24" s="42"/>
      <c r="K24" s="38"/>
      <c r="L24" s="138"/>
      <c r="M24" s="42"/>
      <c r="N24" s="42"/>
      <c r="O24" s="42"/>
      <c r="P24" s="138"/>
      <c r="Q24" s="138"/>
      <c r="R24" s="138"/>
      <c r="S24" s="138"/>
      <c r="T24" s="138"/>
      <c r="U24" s="138"/>
      <c r="V24" s="138"/>
      <c r="W24" s="138"/>
      <c r="X24" s="138"/>
      <c r="Y24" s="138"/>
      <c r="Z24" s="138"/>
      <c r="AA24" s="138"/>
      <c r="AB24" s="138"/>
      <c r="AC24" s="138"/>
      <c r="AD24" s="138"/>
      <c r="AE24" s="138"/>
      <c r="AF24" s="138"/>
      <c r="AG24" s="138"/>
      <c r="AH24" s="44"/>
      <c r="AI24" s="138"/>
      <c r="AJ24" s="25"/>
      <c r="AL24" s="12"/>
      <c r="BA24" s="46"/>
    </row>
    <row r="25" spans="1:53" s="41" customFormat="1" ht="43.5" customHeight="1">
      <c r="A25" s="26">
        <v>1</v>
      </c>
      <c r="B25" s="50" t="s">
        <v>181</v>
      </c>
      <c r="C25" s="27" t="s">
        <v>29</v>
      </c>
      <c r="D25" s="38"/>
      <c r="E25" s="28">
        <v>7.6059999999999999</v>
      </c>
      <c r="F25" s="28"/>
      <c r="G25" s="29">
        <v>258054.77974</v>
      </c>
      <c r="H25" s="138"/>
      <c r="I25" s="42"/>
      <c r="J25" s="42"/>
      <c r="K25" s="38"/>
      <c r="L25" s="138"/>
      <c r="M25" s="42"/>
      <c r="N25" s="42"/>
      <c r="O25" s="42"/>
      <c r="P25" s="138"/>
      <c r="Q25" s="138"/>
      <c r="R25" s="138"/>
      <c r="S25" s="138"/>
      <c r="T25" s="138"/>
      <c r="U25" s="138"/>
      <c r="V25" s="138"/>
      <c r="W25" s="138"/>
      <c r="X25" s="138"/>
      <c r="Y25" s="138"/>
      <c r="Z25" s="138"/>
      <c r="AA25" s="138"/>
      <c r="AB25" s="138"/>
      <c r="AC25" s="138"/>
      <c r="AD25" s="138"/>
      <c r="AE25" s="138"/>
      <c r="AF25" s="28">
        <f>E25</f>
        <v>7.6059999999999999</v>
      </c>
      <c r="AG25" s="28"/>
      <c r="AH25" s="29">
        <f>G25</f>
        <v>258054.77974</v>
      </c>
      <c r="AI25" s="29">
        <f>AH25*0.879999983231406</f>
        <v>227088.20184398419</v>
      </c>
      <c r="AJ25" s="51">
        <f>AH25-AI25</f>
        <v>30966.577896015806</v>
      </c>
      <c r="AL25" s="12"/>
      <c r="BA25" s="46"/>
    </row>
    <row r="26" spans="1:53" s="41" customFormat="1" ht="27.75" customHeight="1">
      <c r="A26" s="153" t="s">
        <v>39</v>
      </c>
      <c r="B26" s="153"/>
      <c r="C26" s="153"/>
      <c r="D26" s="38"/>
      <c r="E26" s="138">
        <f>SUM(E25)</f>
        <v>7.6059999999999999</v>
      </c>
      <c r="F26" s="138"/>
      <c r="G26" s="138">
        <f>SUM(G25)</f>
        <v>258054.77974</v>
      </c>
      <c r="H26" s="138"/>
      <c r="I26" s="42"/>
      <c r="J26" s="42"/>
      <c r="K26" s="38"/>
      <c r="L26" s="138"/>
      <c r="M26" s="42"/>
      <c r="N26" s="42"/>
      <c r="O26" s="42"/>
      <c r="P26" s="138"/>
      <c r="Q26" s="138"/>
      <c r="R26" s="138"/>
      <c r="S26" s="138"/>
      <c r="T26" s="138"/>
      <c r="U26" s="138"/>
      <c r="V26" s="138"/>
      <c r="W26" s="138"/>
      <c r="X26" s="138"/>
      <c r="Y26" s="138"/>
      <c r="Z26" s="138"/>
      <c r="AA26" s="138"/>
      <c r="AB26" s="138"/>
      <c r="AC26" s="138"/>
      <c r="AD26" s="138"/>
      <c r="AE26" s="138"/>
      <c r="AF26" s="138">
        <f>SUM(AF25)</f>
        <v>7.6059999999999999</v>
      </c>
      <c r="AG26" s="138"/>
      <c r="AH26" s="44">
        <f>SUM(AH25)</f>
        <v>258054.77974</v>
      </c>
      <c r="AI26" s="138">
        <f>SUM(AI25)</f>
        <v>227088.20184398419</v>
      </c>
      <c r="AJ26" s="25">
        <f>SUM(AJ25)</f>
        <v>30966.577896015806</v>
      </c>
      <c r="AL26" s="12"/>
      <c r="BA26" s="46"/>
    </row>
    <row r="27" spans="1:53" s="41" customFormat="1" ht="28.5" customHeight="1">
      <c r="A27" s="146" t="s">
        <v>40</v>
      </c>
      <c r="B27" s="146"/>
      <c r="C27" s="157"/>
      <c r="D27" s="157"/>
      <c r="E27" s="157"/>
      <c r="F27" s="137"/>
      <c r="G27" s="138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9"/>
      <c r="U27" s="29"/>
      <c r="V27" s="29"/>
      <c r="W27" s="29"/>
      <c r="X27" s="29"/>
      <c r="Y27" s="29"/>
      <c r="Z27" s="29"/>
      <c r="AA27" s="27"/>
      <c r="AB27" s="29"/>
      <c r="AC27" s="29"/>
      <c r="AD27" s="29"/>
      <c r="AE27" s="29"/>
      <c r="AF27" s="29"/>
      <c r="AG27" s="29"/>
      <c r="AH27" s="52"/>
      <c r="AI27" s="29"/>
      <c r="AJ27" s="51"/>
      <c r="AK27" s="12"/>
      <c r="AL27" s="12"/>
    </row>
    <row r="28" spans="1:53" s="41" customFormat="1" ht="45.75" customHeight="1">
      <c r="A28" s="26">
        <v>2</v>
      </c>
      <c r="B28" s="50" t="s">
        <v>41</v>
      </c>
      <c r="C28" s="27" t="s">
        <v>42</v>
      </c>
      <c r="D28" s="27"/>
      <c r="E28" s="28">
        <f>14.635-8.245</f>
        <v>6.3900000000000006</v>
      </c>
      <c r="F28" s="28"/>
      <c r="G28" s="29">
        <f>V28+AB28</f>
        <v>301008.75906000001</v>
      </c>
      <c r="H28" s="53"/>
      <c r="I28" s="54"/>
      <c r="J28" s="54"/>
      <c r="K28" s="54"/>
      <c r="L28" s="28"/>
      <c r="M28" s="54"/>
      <c r="N28" s="54"/>
      <c r="O28" s="54"/>
      <c r="P28" s="28"/>
      <c r="Q28" s="54"/>
      <c r="R28" s="54"/>
      <c r="S28" s="54"/>
      <c r="T28" s="28"/>
      <c r="U28" s="29"/>
      <c r="V28" s="29">
        <f>150000+3263.48706+333.5004</f>
        <v>153596.98746</v>
      </c>
      <c r="W28" s="29"/>
      <c r="X28" s="29">
        <f>V28</f>
        <v>153596.98746</v>
      </c>
      <c r="Y28" s="29"/>
      <c r="Z28" s="28">
        <f>E28</f>
        <v>6.3900000000000006</v>
      </c>
      <c r="AA28" s="28"/>
      <c r="AB28" s="29">
        <v>147411.77160000001</v>
      </c>
      <c r="AC28" s="29">
        <v>138567.06317000001</v>
      </c>
      <c r="AD28" s="29">
        <f>AB28-AC28</f>
        <v>8844.7084299999988</v>
      </c>
      <c r="AE28" s="29"/>
      <c r="AF28" s="29"/>
      <c r="AG28" s="29"/>
      <c r="AH28" s="52"/>
      <c r="AI28" s="29"/>
      <c r="AJ28" s="51"/>
      <c r="AK28" s="12"/>
      <c r="AL28" s="12"/>
    </row>
    <row r="29" spans="1:53" s="41" customFormat="1" ht="42.4" customHeight="1">
      <c r="A29" s="26">
        <v>3</v>
      </c>
      <c r="B29" s="50" t="s">
        <v>43</v>
      </c>
      <c r="C29" s="27" t="s">
        <v>29</v>
      </c>
      <c r="D29" s="27"/>
      <c r="E29" s="28">
        <f>(2.975-0.02)+(9.02-6.67)</f>
        <v>5.3049999999999997</v>
      </c>
      <c r="F29" s="55"/>
      <c r="G29" s="29">
        <v>136547.54149999999</v>
      </c>
      <c r="H29" s="53"/>
      <c r="I29" s="54"/>
      <c r="J29" s="54"/>
      <c r="K29" s="54"/>
      <c r="L29" s="28"/>
      <c r="M29" s="54"/>
      <c r="N29" s="54"/>
      <c r="O29" s="54"/>
      <c r="P29" s="28"/>
      <c r="Q29" s="54"/>
      <c r="R29" s="54"/>
      <c r="S29" s="54"/>
      <c r="T29" s="28"/>
      <c r="U29" s="29"/>
      <c r="V29" s="29"/>
      <c r="W29" s="29"/>
      <c r="X29" s="29"/>
      <c r="Y29" s="29"/>
      <c r="Z29" s="28">
        <f>E29</f>
        <v>5.3049999999999997</v>
      </c>
      <c r="AA29" s="28"/>
      <c r="AB29" s="29">
        <v>136547.54149999999</v>
      </c>
      <c r="AC29" s="29">
        <v>128354.68703</v>
      </c>
      <c r="AD29" s="29">
        <f>AB29-AC29</f>
        <v>8192.8544699999911</v>
      </c>
      <c r="AE29" s="29"/>
      <c r="AF29" s="29"/>
      <c r="AG29" s="29"/>
      <c r="AH29" s="52"/>
      <c r="AI29" s="29"/>
      <c r="AJ29" s="51"/>
      <c r="AK29" s="12"/>
      <c r="AL29" s="12"/>
    </row>
    <row r="30" spans="1:53" s="41" customFormat="1" ht="25.9" customHeight="1">
      <c r="A30" s="26">
        <v>4</v>
      </c>
      <c r="B30" s="50" t="s">
        <v>44</v>
      </c>
      <c r="C30" s="27" t="s">
        <v>29</v>
      </c>
      <c r="D30" s="27"/>
      <c r="E30" s="55">
        <v>5.05</v>
      </c>
      <c r="F30" s="55"/>
      <c r="G30" s="29">
        <v>137839.47672999999</v>
      </c>
      <c r="H30" s="53"/>
      <c r="I30" s="54"/>
      <c r="J30" s="54"/>
      <c r="K30" s="54"/>
      <c r="L30" s="28"/>
      <c r="M30" s="54"/>
      <c r="N30" s="54"/>
      <c r="O30" s="54"/>
      <c r="P30" s="28"/>
      <c r="Q30" s="54"/>
      <c r="R30" s="54"/>
      <c r="S30" s="54"/>
      <c r="T30" s="28"/>
      <c r="U30" s="29"/>
      <c r="V30" s="29"/>
      <c r="W30" s="29"/>
      <c r="X30" s="29"/>
      <c r="Y30" s="29"/>
      <c r="Z30" s="28">
        <f>E30</f>
        <v>5.05</v>
      </c>
      <c r="AA30" s="28"/>
      <c r="AB30" s="29">
        <f>G30</f>
        <v>137839.47672999999</v>
      </c>
      <c r="AC30" s="29">
        <v>129569.10613</v>
      </c>
      <c r="AD30" s="29">
        <f>AB30-AC30</f>
        <v>8270.3705999999947</v>
      </c>
      <c r="AE30" s="29"/>
      <c r="AF30" s="29"/>
      <c r="AG30" s="29"/>
      <c r="AH30" s="52" t="s">
        <v>45</v>
      </c>
      <c r="AI30" s="29"/>
      <c r="AJ30" s="51"/>
      <c r="AK30" s="12"/>
      <c r="AL30" s="12"/>
    </row>
    <row r="31" spans="1:53" s="41" customFormat="1" ht="42.4" customHeight="1">
      <c r="A31" s="26">
        <v>5</v>
      </c>
      <c r="B31" s="65" t="s">
        <v>185</v>
      </c>
      <c r="C31" s="27" t="s">
        <v>42</v>
      </c>
      <c r="D31" s="27"/>
      <c r="E31" s="55">
        <v>1.4</v>
      </c>
      <c r="F31" s="55"/>
      <c r="G31" s="29">
        <v>236732.87409</v>
      </c>
      <c r="H31" s="53"/>
      <c r="I31" s="54"/>
      <c r="J31" s="54"/>
      <c r="K31" s="54"/>
      <c r="L31" s="28"/>
      <c r="M31" s="54"/>
      <c r="N31" s="54"/>
      <c r="O31" s="54"/>
      <c r="P31" s="28"/>
      <c r="Q31" s="54"/>
      <c r="R31" s="54"/>
      <c r="S31" s="54"/>
      <c r="T31" s="28"/>
      <c r="U31" s="29"/>
      <c r="V31" s="29"/>
      <c r="W31" s="29"/>
      <c r="X31" s="29"/>
      <c r="Y31" s="29"/>
      <c r="Z31" s="28"/>
      <c r="AA31" s="28"/>
      <c r="AB31" s="29"/>
      <c r="AC31" s="29"/>
      <c r="AD31" s="29"/>
      <c r="AE31" s="29"/>
      <c r="AF31" s="55">
        <f>E31</f>
        <v>1.4</v>
      </c>
      <c r="AG31" s="29"/>
      <c r="AH31" s="52">
        <f>G31</f>
        <v>236732.87409</v>
      </c>
      <c r="AI31" s="29">
        <f t="shared" ref="AI31:AI33" si="0">AH31*0.879999983231406</f>
        <v>208324.92522952255</v>
      </c>
      <c r="AJ31" s="51">
        <f>AH31-AI31</f>
        <v>28407.948860477452</v>
      </c>
      <c r="AK31" s="12"/>
      <c r="AL31" s="12"/>
    </row>
    <row r="32" spans="1:53" s="41" customFormat="1" ht="26.85" customHeight="1">
      <c r="A32" s="26">
        <v>6</v>
      </c>
      <c r="B32" s="50" t="s">
        <v>47</v>
      </c>
      <c r="C32" s="27" t="s">
        <v>29</v>
      </c>
      <c r="D32" s="27"/>
      <c r="E32" s="55">
        <v>2.9</v>
      </c>
      <c r="F32" s="55"/>
      <c r="G32" s="29">
        <v>90000</v>
      </c>
      <c r="H32" s="53"/>
      <c r="I32" s="54"/>
      <c r="J32" s="54"/>
      <c r="K32" s="54"/>
      <c r="L32" s="28"/>
      <c r="M32" s="54"/>
      <c r="N32" s="54"/>
      <c r="O32" s="54"/>
      <c r="P32" s="28"/>
      <c r="Q32" s="54"/>
      <c r="R32" s="54"/>
      <c r="S32" s="54"/>
      <c r="T32" s="28"/>
      <c r="U32" s="29"/>
      <c r="V32" s="29" t="s">
        <v>48</v>
      </c>
      <c r="W32" s="29"/>
      <c r="X32" s="29"/>
      <c r="Y32" s="29"/>
      <c r="Z32" s="28"/>
      <c r="AA32" s="28"/>
      <c r="AB32" s="29"/>
      <c r="AC32" s="29"/>
      <c r="AD32" s="29"/>
      <c r="AE32" s="29"/>
      <c r="AF32" s="55">
        <f>E32</f>
        <v>2.9</v>
      </c>
      <c r="AG32" s="29"/>
      <c r="AH32" s="52">
        <f>G32</f>
        <v>90000</v>
      </c>
      <c r="AI32" s="29">
        <f t="shared" si="0"/>
        <v>79199.998490826547</v>
      </c>
      <c r="AJ32" s="51">
        <f>AH32-AI32</f>
        <v>10800.001509173453</v>
      </c>
      <c r="AK32" s="12"/>
      <c r="AL32" s="12"/>
    </row>
    <row r="33" spans="1:38" s="41" customFormat="1" ht="39.4" customHeight="1">
      <c r="A33" s="26">
        <v>7</v>
      </c>
      <c r="B33" s="50" t="s">
        <v>49</v>
      </c>
      <c r="C33" s="27" t="s">
        <v>42</v>
      </c>
      <c r="D33" s="27"/>
      <c r="E33" s="55">
        <v>1.48</v>
      </c>
      <c r="F33" s="55"/>
      <c r="G33" s="29">
        <v>154000</v>
      </c>
      <c r="H33" s="53"/>
      <c r="I33" s="54"/>
      <c r="J33" s="54"/>
      <c r="K33" s="54"/>
      <c r="L33" s="28"/>
      <c r="M33" s="54"/>
      <c r="N33" s="54"/>
      <c r="O33" s="54"/>
      <c r="P33" s="28"/>
      <c r="Q33" s="54"/>
      <c r="R33" s="54"/>
      <c r="S33" s="54"/>
      <c r="T33" s="28"/>
      <c r="U33" s="29"/>
      <c r="V33" s="29"/>
      <c r="W33" s="29"/>
      <c r="X33" s="29"/>
      <c r="Y33" s="29"/>
      <c r="Z33" s="28"/>
      <c r="AA33" s="28"/>
      <c r="AB33" s="29"/>
      <c r="AC33" s="29"/>
      <c r="AD33" s="29"/>
      <c r="AE33" s="29"/>
      <c r="AF33" s="55">
        <f>E33</f>
        <v>1.48</v>
      </c>
      <c r="AG33" s="29"/>
      <c r="AH33" s="52">
        <f>G33</f>
        <v>154000</v>
      </c>
      <c r="AI33" s="29">
        <f t="shared" si="0"/>
        <v>135519.99741763654</v>
      </c>
      <c r="AJ33" s="51">
        <f>AH33-AI33</f>
        <v>18480.002582363464</v>
      </c>
      <c r="AK33" s="12"/>
      <c r="AL33" s="12"/>
    </row>
    <row r="34" spans="1:38" s="41" customFormat="1" ht="40.35" customHeight="1">
      <c r="A34" s="26">
        <v>8</v>
      </c>
      <c r="B34" s="50" t="s">
        <v>50</v>
      </c>
      <c r="C34" s="27" t="s">
        <v>29</v>
      </c>
      <c r="D34" s="27"/>
      <c r="E34" s="55">
        <f>3.65-0.745</f>
        <v>2.9049999999999998</v>
      </c>
      <c r="F34" s="55"/>
      <c r="G34" s="29">
        <f>V34+AB34</f>
        <v>79845.642900000006</v>
      </c>
      <c r="H34" s="53"/>
      <c r="I34" s="54"/>
      <c r="J34" s="54"/>
      <c r="K34" s="54"/>
      <c r="L34" s="28"/>
      <c r="M34" s="54"/>
      <c r="N34" s="54"/>
      <c r="O34" s="54"/>
      <c r="P34" s="28"/>
      <c r="Q34" s="54"/>
      <c r="R34" s="54"/>
      <c r="S34" s="54"/>
      <c r="T34" s="28"/>
      <c r="U34" s="29"/>
      <c r="V34" s="29">
        <v>50160.128109999998</v>
      </c>
      <c r="W34" s="29"/>
      <c r="X34" s="29">
        <f>V34</f>
        <v>50160.128109999998</v>
      </c>
      <c r="Y34" s="29"/>
      <c r="Z34" s="28">
        <f>E34</f>
        <v>2.9049999999999998</v>
      </c>
      <c r="AA34" s="28"/>
      <c r="AB34" s="29">
        <v>29685.514790000001</v>
      </c>
      <c r="AC34" s="29">
        <v>27904.383470000001</v>
      </c>
      <c r="AD34" s="29">
        <f>AB34-AC34</f>
        <v>1781.1313200000004</v>
      </c>
      <c r="AE34" s="29"/>
      <c r="AF34" s="55"/>
      <c r="AG34" s="29"/>
      <c r="AH34" s="52"/>
      <c r="AI34" s="29"/>
      <c r="AJ34" s="51"/>
      <c r="AK34" s="12"/>
      <c r="AL34" s="12"/>
    </row>
    <row r="35" spans="1:38" s="41" customFormat="1" ht="40.35" customHeight="1">
      <c r="A35" s="26">
        <v>9</v>
      </c>
      <c r="B35" s="50" t="s">
        <v>176</v>
      </c>
      <c r="C35" s="27" t="s">
        <v>29</v>
      </c>
      <c r="D35" s="27"/>
      <c r="E35" s="55">
        <v>1.4</v>
      </c>
      <c r="F35" s="55"/>
      <c r="G35" s="29">
        <v>36067.305959999998</v>
      </c>
      <c r="H35" s="53"/>
      <c r="I35" s="54"/>
      <c r="J35" s="54"/>
      <c r="K35" s="54"/>
      <c r="L35" s="28"/>
      <c r="M35" s="54"/>
      <c r="N35" s="54"/>
      <c r="O35" s="54"/>
      <c r="P35" s="28"/>
      <c r="Q35" s="54"/>
      <c r="R35" s="54"/>
      <c r="S35" s="54"/>
      <c r="T35" s="28"/>
      <c r="U35" s="29"/>
      <c r="V35" s="29"/>
      <c r="W35" s="29"/>
      <c r="X35" s="29"/>
      <c r="Y35" s="29"/>
      <c r="Z35" s="28">
        <f>E35</f>
        <v>1.4</v>
      </c>
      <c r="AA35" s="28"/>
      <c r="AB35" s="29">
        <f>G35</f>
        <v>36067.305959999998</v>
      </c>
      <c r="AC35" s="29">
        <v>33903.267079999998</v>
      </c>
      <c r="AD35" s="29">
        <f>AB35-AC35</f>
        <v>2164.0388800000001</v>
      </c>
      <c r="AE35" s="29"/>
      <c r="AF35" s="55"/>
      <c r="AG35" s="29"/>
      <c r="AH35" s="52"/>
      <c r="AI35" s="29"/>
      <c r="AJ35" s="51"/>
      <c r="AK35" s="12"/>
      <c r="AL35" s="12"/>
    </row>
    <row r="36" spans="1:38" s="41" customFormat="1" ht="63" customHeight="1">
      <c r="A36" s="26">
        <v>10</v>
      </c>
      <c r="B36" s="50" t="s">
        <v>177</v>
      </c>
      <c r="C36" s="27" t="s">
        <v>42</v>
      </c>
      <c r="D36" s="27"/>
      <c r="E36" s="55">
        <f>Z36+AF36</f>
        <v>4.5999999999999996</v>
      </c>
      <c r="F36" s="55"/>
      <c r="G36" s="29">
        <f>AB36+AH36</f>
        <v>405818.36258000002</v>
      </c>
      <c r="H36" s="53"/>
      <c r="I36" s="54"/>
      <c r="J36" s="54"/>
      <c r="K36" s="54"/>
      <c r="L36" s="28"/>
      <c r="M36" s="54"/>
      <c r="N36" s="54"/>
      <c r="O36" s="54"/>
      <c r="P36" s="28"/>
      <c r="Q36" s="54"/>
      <c r="R36" s="54"/>
      <c r="S36" s="54"/>
      <c r="T36" s="28"/>
      <c r="U36" s="29"/>
      <c r="V36" s="29"/>
      <c r="W36" s="29"/>
      <c r="X36" s="29"/>
      <c r="Y36" s="29"/>
      <c r="Z36" s="28">
        <v>3</v>
      </c>
      <c r="AA36" s="28"/>
      <c r="AB36" s="29">
        <v>263548.40000000002</v>
      </c>
      <c r="AC36" s="29"/>
      <c r="AD36" s="29">
        <f>AB36</f>
        <v>263548.40000000002</v>
      </c>
      <c r="AE36" s="29"/>
      <c r="AF36" s="55">
        <v>1.6</v>
      </c>
      <c r="AG36" s="29"/>
      <c r="AH36" s="52">
        <v>142269.96257999999</v>
      </c>
      <c r="AI36" s="29">
        <f t="shared" ref="AI36:AI37" si="1">AH36*0.879999983231406</f>
        <v>125197.56468473276</v>
      </c>
      <c r="AJ36" s="51">
        <f>AH36-AI36</f>
        <v>17072.397895267233</v>
      </c>
      <c r="AK36" s="12"/>
      <c r="AL36" s="12"/>
    </row>
    <row r="37" spans="1:38" s="41" customFormat="1" ht="26.25" customHeight="1">
      <c r="A37" s="135"/>
      <c r="B37" s="50" t="s">
        <v>51</v>
      </c>
      <c r="C37" s="27"/>
      <c r="D37" s="27"/>
      <c r="E37" s="56">
        <f>SUM(E28:E36)</f>
        <v>31.43</v>
      </c>
      <c r="F37" s="29"/>
      <c r="G37" s="29">
        <f>SUM(G28:G36)</f>
        <v>1577859.96282</v>
      </c>
      <c r="H37" s="56"/>
      <c r="I37" s="54"/>
      <c r="J37" s="54"/>
      <c r="K37" s="54"/>
      <c r="L37" s="56" t="e">
        <f>SUM(#REF!)</f>
        <v>#REF!</v>
      </c>
      <c r="M37" s="54" t="e">
        <f>SUM(#REF!)</f>
        <v>#REF!</v>
      </c>
      <c r="N37" s="54" t="e">
        <f>SUM(#REF!)</f>
        <v>#REF!</v>
      </c>
      <c r="O37" s="54"/>
      <c r="P37" s="56" t="e">
        <f>SUM(#REF!)</f>
        <v>#REF!</v>
      </c>
      <c r="Q37" s="54" t="e">
        <f>SUM(#REF!)</f>
        <v>#REF!</v>
      </c>
      <c r="R37" s="29" t="e">
        <f>SUM(#REF!)</f>
        <v>#REF!</v>
      </c>
      <c r="S37" s="54"/>
      <c r="T37" s="29">
        <f>SUM(T28:T30)</f>
        <v>0</v>
      </c>
      <c r="U37" s="56"/>
      <c r="V37" s="29">
        <f>SUM(V28:V34)</f>
        <v>203757.11556999999</v>
      </c>
      <c r="W37" s="29"/>
      <c r="X37" s="29">
        <f>SUM(X28:X34)</f>
        <v>203757.11556999999</v>
      </c>
      <c r="Y37" s="29"/>
      <c r="Z37" s="56">
        <f>SUM(Z28:Z36)</f>
        <v>24.05</v>
      </c>
      <c r="AA37" s="56"/>
      <c r="AB37" s="29">
        <f t="shared" ref="AB37:AD37" si="2">SUM(AB28:AB36)</f>
        <v>751100.01058</v>
      </c>
      <c r="AC37" s="29">
        <f t="shared" si="2"/>
        <v>458298.50688</v>
      </c>
      <c r="AD37" s="29">
        <f t="shared" si="2"/>
        <v>292801.5037</v>
      </c>
      <c r="AE37" s="138"/>
      <c r="AF37" s="28">
        <f>SUM(AF31:AF36)</f>
        <v>7.379999999999999</v>
      </c>
      <c r="AG37" s="29"/>
      <c r="AH37" s="52">
        <f>SUM(AH31:AH36)</f>
        <v>623002.83666999999</v>
      </c>
      <c r="AI37" s="29">
        <f t="shared" si="1"/>
        <v>548242.48582271836</v>
      </c>
      <c r="AJ37" s="51">
        <f t="shared" ref="AJ37" si="3">SUM(AJ31:AJ36)</f>
        <v>74760.350847281603</v>
      </c>
      <c r="AK37" s="12"/>
      <c r="AL37" s="12"/>
    </row>
    <row r="38" spans="1:38" s="41" customFormat="1" ht="29.25" customHeight="1">
      <c r="A38" s="135"/>
      <c r="B38" s="50" t="s">
        <v>52</v>
      </c>
      <c r="C38" s="27"/>
      <c r="D38" s="27"/>
      <c r="E38" s="56">
        <f>T38+Z38</f>
        <v>30.874099999999999</v>
      </c>
      <c r="F38" s="56"/>
      <c r="G38" s="29">
        <f>V38+AB38</f>
        <v>472054.2</v>
      </c>
      <c r="H38" s="56"/>
      <c r="I38" s="54"/>
      <c r="J38" s="54"/>
      <c r="K38" s="54"/>
      <c r="L38" s="56"/>
      <c r="M38" s="54"/>
      <c r="N38" s="54"/>
      <c r="O38" s="54"/>
      <c r="P38" s="56"/>
      <c r="Q38" s="54"/>
      <c r="R38" s="29"/>
      <c r="S38" s="54"/>
      <c r="T38" s="56">
        <v>21.892099999999999</v>
      </c>
      <c r="U38" s="56"/>
      <c r="V38" s="29">
        <f>329407+74511</f>
        <v>403918</v>
      </c>
      <c r="W38" s="29"/>
      <c r="X38" s="29">
        <f>V38</f>
        <v>403918</v>
      </c>
      <c r="Y38" s="29"/>
      <c r="Z38" s="29">
        <v>8.9819999999999993</v>
      </c>
      <c r="AA38" s="57"/>
      <c r="AB38" s="29">
        <v>68136.2</v>
      </c>
      <c r="AC38" s="29"/>
      <c r="AD38" s="29">
        <f>AB38</f>
        <v>68136.2</v>
      </c>
      <c r="AE38" s="138"/>
      <c r="AF38" s="138"/>
      <c r="AG38" s="138"/>
      <c r="AH38" s="44"/>
      <c r="AI38" s="138"/>
      <c r="AJ38" s="25"/>
      <c r="AK38" s="12"/>
      <c r="AL38" s="12"/>
    </row>
    <row r="39" spans="1:38" s="41" customFormat="1" ht="25.5" customHeight="1">
      <c r="A39" s="153" t="s">
        <v>53</v>
      </c>
      <c r="B39" s="153"/>
      <c r="C39" s="27"/>
      <c r="D39" s="27"/>
      <c r="E39" s="57">
        <f>E37+E38</f>
        <v>62.304099999999998</v>
      </c>
      <c r="F39" s="57"/>
      <c r="G39" s="138">
        <f>G37+G38</f>
        <v>2049914.16282</v>
      </c>
      <c r="H39" s="57"/>
      <c r="I39" s="42"/>
      <c r="J39" s="42"/>
      <c r="K39" s="42"/>
      <c r="L39" s="57"/>
      <c r="M39" s="42"/>
      <c r="N39" s="42"/>
      <c r="O39" s="42"/>
      <c r="P39" s="57"/>
      <c r="Q39" s="42"/>
      <c r="R39" s="138"/>
      <c r="S39" s="42"/>
      <c r="T39" s="57">
        <f>T37+T38</f>
        <v>21.892099999999999</v>
      </c>
      <c r="U39" s="57"/>
      <c r="V39" s="138">
        <f>V37+V38</f>
        <v>607675.11557000002</v>
      </c>
      <c r="W39" s="138">
        <f>W37+W38</f>
        <v>0</v>
      </c>
      <c r="X39" s="138">
        <f>X37+X38</f>
        <v>607675.11557000002</v>
      </c>
      <c r="Y39" s="138"/>
      <c r="Z39" s="57">
        <f>Z37+Z38</f>
        <v>33.031999999999996</v>
      </c>
      <c r="AA39" s="57"/>
      <c r="AB39" s="138">
        <f>AB37+AB38</f>
        <v>819236.21057999996</v>
      </c>
      <c r="AC39" s="138">
        <f>AC37+AC38</f>
        <v>458298.50688</v>
      </c>
      <c r="AD39" s="138">
        <f>AD37+AD38</f>
        <v>360937.70370000001</v>
      </c>
      <c r="AE39" s="138"/>
      <c r="AF39" s="57">
        <f>AF37+AF38</f>
        <v>7.379999999999999</v>
      </c>
      <c r="AG39" s="57"/>
      <c r="AH39" s="138">
        <f>AH37+AH38</f>
        <v>623002.83666999999</v>
      </c>
      <c r="AI39" s="138">
        <f>AI37+AI38</f>
        <v>548242.48582271836</v>
      </c>
      <c r="AJ39" s="25">
        <f>AJ37+AJ38</f>
        <v>74760.350847281603</v>
      </c>
      <c r="AK39" s="48">
        <f>AH39+AB39+V39</f>
        <v>2049914.1628199997</v>
      </c>
      <c r="AL39" s="12"/>
    </row>
    <row r="40" spans="1:38" s="41" customFormat="1" ht="27.75" customHeight="1">
      <c r="A40" s="146" t="s">
        <v>54</v>
      </c>
      <c r="B40" s="146"/>
      <c r="C40" s="152"/>
      <c r="D40" s="152"/>
      <c r="E40" s="152"/>
      <c r="F40" s="137"/>
      <c r="G40" s="138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9"/>
      <c r="V40" s="29"/>
      <c r="W40" s="29"/>
      <c r="X40" s="29"/>
      <c r="Y40" s="29"/>
      <c r="Z40" s="29"/>
      <c r="AA40" s="27"/>
      <c r="AB40" s="29"/>
      <c r="AC40" s="29"/>
      <c r="AD40" s="29"/>
      <c r="AE40" s="29"/>
      <c r="AF40" s="29"/>
      <c r="AG40" s="29"/>
      <c r="AH40" s="52"/>
      <c r="AI40" s="29"/>
      <c r="AJ40" s="51"/>
      <c r="AK40" s="12"/>
      <c r="AL40" s="12"/>
    </row>
    <row r="41" spans="1:38" s="41" customFormat="1" ht="40.35" customHeight="1">
      <c r="A41" s="26">
        <v>11</v>
      </c>
      <c r="B41" s="50" t="s">
        <v>55</v>
      </c>
      <c r="C41" s="27" t="s">
        <v>46</v>
      </c>
      <c r="D41" s="27"/>
      <c r="E41" s="55">
        <f>42.63-37</f>
        <v>5.6300000000000026</v>
      </c>
      <c r="F41" s="55"/>
      <c r="G41" s="29">
        <v>141076.03742000001</v>
      </c>
      <c r="H41" s="53"/>
      <c r="I41" s="54"/>
      <c r="J41" s="54"/>
      <c r="K41" s="54"/>
      <c r="L41" s="58"/>
      <c r="M41" s="59"/>
      <c r="N41" s="54"/>
      <c r="O41" s="54"/>
      <c r="P41" s="28"/>
      <c r="Q41" s="54"/>
      <c r="R41" s="54"/>
      <c r="S41" s="54"/>
      <c r="T41" s="28">
        <f>E41</f>
        <v>5.6300000000000026</v>
      </c>
      <c r="U41" s="29"/>
      <c r="V41" s="29">
        <f>G41</f>
        <v>141076.03742000001</v>
      </c>
      <c r="W41" s="29"/>
      <c r="X41" s="29">
        <f>V41</f>
        <v>141076.03742000001</v>
      </c>
      <c r="Y41" s="29"/>
      <c r="Z41" s="29"/>
      <c r="AA41" s="28"/>
      <c r="AB41" s="29"/>
      <c r="AC41" s="29"/>
      <c r="AD41" s="29"/>
      <c r="AE41" s="29"/>
      <c r="AF41" s="29"/>
      <c r="AG41" s="29"/>
      <c r="AH41" s="52"/>
      <c r="AI41" s="29"/>
      <c r="AJ41" s="51"/>
      <c r="AK41" s="12"/>
      <c r="AL41" s="12"/>
    </row>
    <row r="42" spans="1:38" s="41" customFormat="1" ht="66" customHeight="1">
      <c r="A42" s="26">
        <v>12</v>
      </c>
      <c r="B42" s="50" t="s">
        <v>56</v>
      </c>
      <c r="C42" s="27" t="s">
        <v>29</v>
      </c>
      <c r="D42" s="27"/>
      <c r="E42" s="55">
        <f>4-0.015</f>
        <v>3.9849999999999999</v>
      </c>
      <c r="F42" s="55"/>
      <c r="G42" s="29">
        <v>103944.8</v>
      </c>
      <c r="H42" s="53"/>
      <c r="I42" s="54"/>
      <c r="J42" s="54"/>
      <c r="K42" s="54"/>
      <c r="L42" s="58"/>
      <c r="M42" s="59"/>
      <c r="N42" s="54"/>
      <c r="O42" s="54"/>
      <c r="P42" s="28"/>
      <c r="Q42" s="54"/>
      <c r="R42" s="54"/>
      <c r="S42" s="54"/>
      <c r="T42" s="28"/>
      <c r="U42" s="29"/>
      <c r="V42" s="29"/>
      <c r="W42" s="29"/>
      <c r="X42" s="29"/>
      <c r="Y42" s="29"/>
      <c r="Z42" s="28">
        <f>E42</f>
        <v>3.9849999999999999</v>
      </c>
      <c r="AA42" s="28"/>
      <c r="AB42" s="29">
        <f>G42</f>
        <v>103944.8</v>
      </c>
      <c r="AC42" s="29">
        <v>97708.110499999995</v>
      </c>
      <c r="AD42" s="29">
        <f>AB42-AC42</f>
        <v>6236.6895000000077</v>
      </c>
      <c r="AE42" s="29"/>
      <c r="AF42" s="29"/>
      <c r="AG42" s="29"/>
      <c r="AH42" s="52"/>
      <c r="AI42" s="29"/>
      <c r="AJ42" s="51"/>
      <c r="AK42" s="12"/>
      <c r="AL42" s="12"/>
    </row>
    <row r="43" spans="1:38" s="41" customFormat="1" ht="51" customHeight="1">
      <c r="A43" s="26">
        <v>13</v>
      </c>
      <c r="B43" s="50" t="s">
        <v>194</v>
      </c>
      <c r="C43" s="27" t="s">
        <v>32</v>
      </c>
      <c r="D43" s="27"/>
      <c r="E43" s="55">
        <v>3.5</v>
      </c>
      <c r="F43" s="55"/>
      <c r="G43" s="29">
        <v>122464.63389</v>
      </c>
      <c r="H43" s="53"/>
      <c r="I43" s="54"/>
      <c r="J43" s="54"/>
      <c r="K43" s="54"/>
      <c r="L43" s="58"/>
      <c r="M43" s="59"/>
      <c r="N43" s="54"/>
      <c r="O43" s="54"/>
      <c r="P43" s="28"/>
      <c r="Q43" s="54"/>
      <c r="R43" s="54"/>
      <c r="S43" s="54"/>
      <c r="T43" s="28"/>
      <c r="U43" s="29" t="s">
        <v>45</v>
      </c>
      <c r="V43" s="29" t="s">
        <v>45</v>
      </c>
      <c r="W43" s="29"/>
      <c r="X43" s="29"/>
      <c r="Y43" s="29" t="s">
        <v>45</v>
      </c>
      <c r="Z43" s="28"/>
      <c r="AA43" s="28"/>
      <c r="AB43" s="29"/>
      <c r="AC43" s="29"/>
      <c r="AD43" s="29"/>
      <c r="AE43" s="29"/>
      <c r="AF43" s="28">
        <f>E43</f>
        <v>3.5</v>
      </c>
      <c r="AG43" s="29"/>
      <c r="AH43" s="52">
        <f>G43</f>
        <v>122464.63389</v>
      </c>
      <c r="AI43" s="29">
        <f t="shared" ref="AI43" si="4">AH43*0.879999983231406</f>
        <v>107768.87576964028</v>
      </c>
      <c r="AJ43" s="51">
        <f>AH43-AI43</f>
        <v>14695.758120359722</v>
      </c>
      <c r="AK43" s="12"/>
      <c r="AL43" s="12"/>
    </row>
    <row r="44" spans="1:38" s="41" customFormat="1" ht="33" customHeight="1">
      <c r="A44" s="60"/>
      <c r="B44" s="50" t="s">
        <v>51</v>
      </c>
      <c r="C44" s="27"/>
      <c r="D44" s="27"/>
      <c r="E44" s="61">
        <f>SUM(E41:E43)</f>
        <v>13.115000000000002</v>
      </c>
      <c r="F44" s="29"/>
      <c r="G44" s="29">
        <f>SUM(G41:G43)</f>
        <v>367485.47130999999</v>
      </c>
      <c r="H44" s="53"/>
      <c r="I44" s="54"/>
      <c r="J44" s="54"/>
      <c r="K44" s="54"/>
      <c r="L44" s="58"/>
      <c r="M44" s="59"/>
      <c r="N44" s="54"/>
      <c r="O44" s="54"/>
      <c r="P44" s="28"/>
      <c r="Q44" s="54"/>
      <c r="R44" s="54"/>
      <c r="S44" s="54"/>
      <c r="T44" s="61">
        <f>SUM(T41:T41)</f>
        <v>5.6300000000000026</v>
      </c>
      <c r="U44" s="55"/>
      <c r="V44" s="29">
        <f>SUM(V41:V41)</f>
        <v>141076.03742000001</v>
      </c>
      <c r="W44" s="29">
        <f>SUM(W41:W41)</f>
        <v>0</v>
      </c>
      <c r="X44" s="29">
        <f>SUM(X41:X41)</f>
        <v>141076.03742000001</v>
      </c>
      <c r="Y44" s="29"/>
      <c r="Z44" s="29">
        <f>SUM(Z42)</f>
        <v>3.9849999999999999</v>
      </c>
      <c r="AA44" s="28"/>
      <c r="AB44" s="29">
        <f>AB42</f>
        <v>103944.8</v>
      </c>
      <c r="AC44" s="29">
        <f>AC42</f>
        <v>97708.110499999995</v>
      </c>
      <c r="AD44" s="29">
        <f>AD42</f>
        <v>6236.6895000000077</v>
      </c>
      <c r="AE44" s="29"/>
      <c r="AF44" s="29">
        <f>SUM(AF43)</f>
        <v>3.5</v>
      </c>
      <c r="AG44" s="29"/>
      <c r="AH44" s="52">
        <f>SUM(AH43)</f>
        <v>122464.63389</v>
      </c>
      <c r="AI44" s="52">
        <f>SUM(AI43)</f>
        <v>107768.87576964028</v>
      </c>
      <c r="AJ44" s="51">
        <f>SUM(AJ43)</f>
        <v>14695.758120359722</v>
      </c>
      <c r="AK44" s="12"/>
      <c r="AL44" s="12"/>
    </row>
    <row r="45" spans="1:38" s="41" customFormat="1" ht="32.25" customHeight="1">
      <c r="A45" s="60"/>
      <c r="B45" s="50" t="s">
        <v>52</v>
      </c>
      <c r="C45" s="27"/>
      <c r="D45" s="27"/>
      <c r="E45" s="61">
        <f>T45+Z45</f>
        <v>15.535</v>
      </c>
      <c r="F45" s="55"/>
      <c r="G45" s="29">
        <f>V45+AB45</f>
        <v>123647.5</v>
      </c>
      <c r="H45" s="53"/>
      <c r="I45" s="54"/>
      <c r="J45" s="54"/>
      <c r="K45" s="54"/>
      <c r="L45" s="58"/>
      <c r="M45" s="59"/>
      <c r="N45" s="54"/>
      <c r="O45" s="54"/>
      <c r="P45" s="28"/>
      <c r="Q45" s="54"/>
      <c r="R45" s="54"/>
      <c r="S45" s="54"/>
      <c r="T45" s="61">
        <v>10.148</v>
      </c>
      <c r="U45" s="55"/>
      <c r="V45" s="29">
        <v>76863</v>
      </c>
      <c r="W45" s="29"/>
      <c r="X45" s="29">
        <f>V45</f>
        <v>76863</v>
      </c>
      <c r="Y45" s="29"/>
      <c r="Z45" s="62">
        <v>5.3869999999999996</v>
      </c>
      <c r="AA45" s="28"/>
      <c r="AB45" s="29">
        <v>46784.5</v>
      </c>
      <c r="AC45" s="28"/>
      <c r="AD45" s="29">
        <f>AB45</f>
        <v>46784.5</v>
      </c>
      <c r="AE45" s="29"/>
      <c r="AF45" s="29"/>
      <c r="AG45" s="29"/>
      <c r="AH45" s="52"/>
      <c r="AI45" s="29"/>
      <c r="AJ45" s="51"/>
      <c r="AK45" s="12"/>
      <c r="AL45" s="12"/>
    </row>
    <row r="46" spans="1:38" s="41" customFormat="1" ht="29.25" customHeight="1">
      <c r="A46" s="153" t="s">
        <v>57</v>
      </c>
      <c r="B46" s="153"/>
      <c r="C46" s="27"/>
      <c r="D46" s="27"/>
      <c r="E46" s="57">
        <f>SUM(E44:E45)</f>
        <v>28.650000000000002</v>
      </c>
      <c r="F46" s="57"/>
      <c r="G46" s="138">
        <f>SUM(G44:G45)</f>
        <v>491132.97130999999</v>
      </c>
      <c r="H46" s="57" t="e">
        <f>SUM(#REF!)</f>
        <v>#REF!</v>
      </c>
      <c r="I46" s="42" t="e">
        <f>SUM(#REF!)</f>
        <v>#REF!</v>
      </c>
      <c r="J46" s="42" t="e">
        <f>SUM(#REF!)</f>
        <v>#REF!</v>
      </c>
      <c r="K46" s="42"/>
      <c r="L46" s="57" t="e">
        <f>SUM(#REF!)</f>
        <v>#REF!</v>
      </c>
      <c r="M46" s="42" t="e">
        <f>SUM(#REF!)</f>
        <v>#REF!</v>
      </c>
      <c r="N46" s="42" t="e">
        <f>SUM(#REF!)</f>
        <v>#REF!</v>
      </c>
      <c r="O46" s="42" t="e">
        <f>SUM(#REF!)</f>
        <v>#REF!</v>
      </c>
      <c r="P46" s="63" t="e">
        <f>SUM(#REF!)</f>
        <v>#REF!</v>
      </c>
      <c r="Q46" s="42" t="e">
        <f>SUM(#REF!)</f>
        <v>#REF!</v>
      </c>
      <c r="R46" s="42" t="e">
        <f>SUM(#REF!)</f>
        <v>#REF!</v>
      </c>
      <c r="S46" s="42"/>
      <c r="T46" s="57">
        <f>SUM(T44:T45)</f>
        <v>15.778000000000002</v>
      </c>
      <c r="U46" s="57"/>
      <c r="V46" s="138">
        <f>SUM(V44:V45)</f>
        <v>217939.03742000001</v>
      </c>
      <c r="W46" s="138">
        <f>SUM(W44:W45)</f>
        <v>0</v>
      </c>
      <c r="X46" s="138">
        <f>SUM(X44:X45)</f>
        <v>217939.03742000001</v>
      </c>
      <c r="Y46" s="138"/>
      <c r="Z46" s="138">
        <f>SUM(Z44:Z45)</f>
        <v>9.3719999999999999</v>
      </c>
      <c r="AA46" s="57"/>
      <c r="AB46" s="138">
        <f>SUM(AB44:AB45)</f>
        <v>150729.29999999999</v>
      </c>
      <c r="AC46" s="138">
        <f>SUM(AC44:AC45)</f>
        <v>97708.110499999995</v>
      </c>
      <c r="AD46" s="138">
        <f>SUM(AD44:AD45)</f>
        <v>53021.189500000008</v>
      </c>
      <c r="AE46" s="138"/>
      <c r="AF46" s="138">
        <f>SUM(AF44:AF45)</f>
        <v>3.5</v>
      </c>
      <c r="AG46" s="57"/>
      <c r="AH46" s="138">
        <f>SUM(AH44:AH45)</f>
        <v>122464.63389</v>
      </c>
      <c r="AI46" s="138">
        <f>SUM(AI44:AI45)</f>
        <v>107768.87576964028</v>
      </c>
      <c r="AJ46" s="25">
        <f>SUM(AJ44:AJ45)</f>
        <v>14695.758120359722</v>
      </c>
      <c r="AK46" s="48">
        <f>AH46+AB46+V46</f>
        <v>491132.97130999999</v>
      </c>
      <c r="AL46" s="12"/>
    </row>
    <row r="47" spans="1:38" s="41" customFormat="1" ht="37.5" customHeight="1">
      <c r="A47" s="146" t="s">
        <v>58</v>
      </c>
      <c r="B47" s="146"/>
      <c r="C47" s="152"/>
      <c r="D47" s="152"/>
      <c r="E47" s="152"/>
      <c r="F47" s="137"/>
      <c r="G47" s="138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9"/>
      <c r="V47" s="29"/>
      <c r="W47" s="29"/>
      <c r="X47" s="29"/>
      <c r="Y47" s="29"/>
      <c r="Z47" s="29"/>
      <c r="AA47" s="27"/>
      <c r="AB47" s="29"/>
      <c r="AC47" s="29"/>
      <c r="AD47" s="29"/>
      <c r="AE47" s="29"/>
      <c r="AF47" s="29"/>
      <c r="AG47" s="29"/>
      <c r="AH47" s="52"/>
      <c r="AI47" s="29"/>
      <c r="AJ47" s="51"/>
      <c r="AK47" s="12"/>
      <c r="AL47" s="12"/>
    </row>
    <row r="48" spans="1:38" s="41" customFormat="1" ht="43.5" hidden="1" customHeight="1">
      <c r="A48" s="60"/>
      <c r="B48" s="50" t="s">
        <v>59</v>
      </c>
      <c r="C48" s="27" t="s">
        <v>32</v>
      </c>
      <c r="D48" s="27"/>
      <c r="E48" s="55"/>
      <c r="F48" s="55"/>
      <c r="G48" s="29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9"/>
      <c r="V48" s="29"/>
      <c r="W48" s="29"/>
      <c r="X48" s="29"/>
      <c r="Y48" s="29"/>
      <c r="Z48" s="29"/>
      <c r="AA48" s="33"/>
      <c r="AB48" s="64"/>
      <c r="AC48" s="64"/>
      <c r="AD48" s="64"/>
      <c r="AE48" s="64"/>
      <c r="AF48" s="64"/>
      <c r="AG48" s="29"/>
      <c r="AH48" s="52"/>
      <c r="AI48" s="29"/>
      <c r="AJ48" s="51"/>
      <c r="AK48" s="12"/>
      <c r="AL48" s="12"/>
    </row>
    <row r="49" spans="1:38" s="41" customFormat="1" ht="45" hidden="1" customHeight="1">
      <c r="A49" s="60">
        <v>10</v>
      </c>
      <c r="B49" s="50" t="s">
        <v>60</v>
      </c>
      <c r="C49" s="27" t="s">
        <v>29</v>
      </c>
      <c r="D49" s="27"/>
      <c r="E49" s="28"/>
      <c r="F49" s="28"/>
      <c r="G49" s="29"/>
      <c r="H49" s="53"/>
      <c r="I49" s="54"/>
      <c r="J49" s="54"/>
      <c r="K49" s="54"/>
      <c r="L49" s="28"/>
      <c r="M49" s="54"/>
      <c r="N49" s="54"/>
      <c r="O49" s="54"/>
      <c r="P49" s="28"/>
      <c r="Q49" s="54"/>
      <c r="R49" s="54"/>
      <c r="S49" s="54"/>
      <c r="T49" s="28"/>
      <c r="U49" s="29"/>
      <c r="V49" s="29"/>
      <c r="W49" s="29"/>
      <c r="X49" s="29"/>
      <c r="Y49" s="29"/>
      <c r="Z49" s="29"/>
      <c r="AA49" s="28"/>
      <c r="AB49" s="29"/>
      <c r="AC49" s="29"/>
      <c r="AD49" s="29"/>
      <c r="AE49" s="29"/>
      <c r="AF49" s="29"/>
      <c r="AG49" s="29"/>
      <c r="AH49" s="52"/>
      <c r="AI49" s="29"/>
      <c r="AJ49" s="51"/>
      <c r="AK49" s="12"/>
      <c r="AL49" s="12"/>
    </row>
    <row r="50" spans="1:38" s="41" customFormat="1" ht="45" customHeight="1">
      <c r="A50" s="26">
        <v>14</v>
      </c>
      <c r="B50" s="50" t="s">
        <v>61</v>
      </c>
      <c r="C50" s="27" t="s">
        <v>29</v>
      </c>
      <c r="D50" s="27"/>
      <c r="E50" s="55">
        <f>0.9-0.032</f>
        <v>0.86799999999999999</v>
      </c>
      <c r="F50" s="28"/>
      <c r="G50" s="29">
        <v>22654.123029999999</v>
      </c>
      <c r="H50" s="53"/>
      <c r="I50" s="54"/>
      <c r="J50" s="54"/>
      <c r="K50" s="54"/>
      <c r="L50" s="28"/>
      <c r="M50" s="54"/>
      <c r="N50" s="54"/>
      <c r="O50" s="54"/>
      <c r="P50" s="28"/>
      <c r="Q50" s="54"/>
      <c r="R50" s="54"/>
      <c r="S50" s="54"/>
      <c r="T50" s="28"/>
      <c r="U50" s="29"/>
      <c r="V50" s="29"/>
      <c r="W50" s="29"/>
      <c r="X50" s="29"/>
      <c r="Y50" s="29"/>
      <c r="Z50" s="55">
        <f>E50</f>
        <v>0.86799999999999999</v>
      </c>
      <c r="AA50" s="28"/>
      <c r="AB50" s="29">
        <f>G50</f>
        <v>22654.123029999999</v>
      </c>
      <c r="AC50" s="29">
        <v>21294.875319999999</v>
      </c>
      <c r="AD50" s="29">
        <f>AB50-AC50</f>
        <v>1359.2477099999996</v>
      </c>
      <c r="AE50" s="29"/>
      <c r="AF50" s="29"/>
      <c r="AG50" s="29" t="s">
        <v>62</v>
      </c>
      <c r="AH50" s="52" t="s">
        <v>48</v>
      </c>
      <c r="AI50" s="29"/>
      <c r="AJ50" s="51"/>
      <c r="AK50" s="12"/>
      <c r="AL50" s="12"/>
    </row>
    <row r="51" spans="1:38" s="41" customFormat="1" ht="66" customHeight="1">
      <c r="A51" s="26">
        <v>15</v>
      </c>
      <c r="B51" s="50" t="s">
        <v>63</v>
      </c>
      <c r="C51" s="27" t="s">
        <v>29</v>
      </c>
      <c r="D51" s="27"/>
      <c r="E51" s="55">
        <v>4.7640000000000002</v>
      </c>
      <c r="F51" s="28"/>
      <c r="G51" s="29">
        <v>139832.94664000001</v>
      </c>
      <c r="H51" s="53"/>
      <c r="I51" s="54"/>
      <c r="J51" s="54"/>
      <c r="K51" s="54"/>
      <c r="L51" s="28"/>
      <c r="M51" s="54"/>
      <c r="N51" s="54"/>
      <c r="O51" s="54"/>
      <c r="P51" s="28"/>
      <c r="Q51" s="54"/>
      <c r="R51" s="54"/>
      <c r="S51" s="54"/>
      <c r="T51" s="28"/>
      <c r="U51" s="29"/>
      <c r="V51" s="29"/>
      <c r="W51" s="29"/>
      <c r="X51" s="29"/>
      <c r="Y51" s="29"/>
      <c r="Z51" s="55">
        <f>E51</f>
        <v>4.7640000000000002</v>
      </c>
      <c r="AA51" s="28"/>
      <c r="AB51" s="29">
        <f>G51</f>
        <v>139832.94664000001</v>
      </c>
      <c r="AC51" s="29">
        <v>131442.96781999999</v>
      </c>
      <c r="AD51" s="29">
        <f>AB51-AC51</f>
        <v>8389.9788200000185</v>
      </c>
      <c r="AE51" s="29"/>
      <c r="AF51" s="29"/>
      <c r="AG51" s="29"/>
      <c r="AH51" s="52"/>
      <c r="AI51" s="29"/>
      <c r="AJ51" s="51"/>
      <c r="AK51" s="12" t="s">
        <v>64</v>
      </c>
      <c r="AL51" s="12"/>
    </row>
    <row r="52" spans="1:38" s="41" customFormat="1" ht="45" customHeight="1">
      <c r="A52" s="26">
        <v>16</v>
      </c>
      <c r="B52" s="128" t="s">
        <v>65</v>
      </c>
      <c r="C52" s="27" t="s">
        <v>32</v>
      </c>
      <c r="D52" s="27"/>
      <c r="E52" s="55">
        <v>1.6</v>
      </c>
      <c r="F52" s="28"/>
      <c r="G52" s="29">
        <f>E52*30000-8000+500</f>
        <v>40500</v>
      </c>
      <c r="H52" s="53"/>
      <c r="I52" s="54"/>
      <c r="J52" s="54"/>
      <c r="K52" s="54"/>
      <c r="L52" s="28"/>
      <c r="M52" s="54"/>
      <c r="N52" s="54"/>
      <c r="O52" s="54"/>
      <c r="P52" s="28"/>
      <c r="Q52" s="54"/>
      <c r="R52" s="54"/>
      <c r="S52" s="54"/>
      <c r="T52" s="28"/>
      <c r="U52" s="29"/>
      <c r="V52" s="29"/>
      <c r="W52" s="29"/>
      <c r="X52" s="29"/>
      <c r="Y52" s="29"/>
      <c r="Z52" s="55"/>
      <c r="AA52" s="28"/>
      <c r="AB52" s="29"/>
      <c r="AC52" s="29"/>
      <c r="AD52" s="29"/>
      <c r="AE52" s="29"/>
      <c r="AF52" s="28">
        <f>E52</f>
        <v>1.6</v>
      </c>
      <c r="AG52" s="29"/>
      <c r="AH52" s="52">
        <f>G52</f>
        <v>40500</v>
      </c>
      <c r="AI52" s="29">
        <f t="shared" ref="AI52:AI53" si="5">AH52*0.879999983231406</f>
        <v>35639.999320871946</v>
      </c>
      <c r="AJ52" s="51">
        <f>AH52-AI52</f>
        <v>4860.0006791280539</v>
      </c>
      <c r="AK52" s="12"/>
      <c r="AL52" s="12"/>
    </row>
    <row r="53" spans="1:38" s="41" customFormat="1" ht="42.75" customHeight="1">
      <c r="A53" s="26">
        <v>17</v>
      </c>
      <c r="B53" s="128" t="s">
        <v>184</v>
      </c>
      <c r="C53" s="27" t="s">
        <v>29</v>
      </c>
      <c r="D53" s="27"/>
      <c r="E53" s="55">
        <f>8.187-4.1</f>
        <v>4.0869999999999997</v>
      </c>
      <c r="F53" s="28"/>
      <c r="G53" s="29">
        <f>185000+20000-2000</f>
        <v>203000</v>
      </c>
      <c r="H53" s="53"/>
      <c r="I53" s="54"/>
      <c r="J53" s="54"/>
      <c r="K53" s="54"/>
      <c r="L53" s="28"/>
      <c r="M53" s="54"/>
      <c r="N53" s="54"/>
      <c r="O53" s="54"/>
      <c r="P53" s="28"/>
      <c r="Q53" s="54"/>
      <c r="R53" s="54"/>
      <c r="S53" s="54"/>
      <c r="T53" s="28"/>
      <c r="U53" s="29"/>
      <c r="V53" s="29"/>
      <c r="W53" s="29"/>
      <c r="X53" s="29" t="s">
        <v>48</v>
      </c>
      <c r="Y53" s="29"/>
      <c r="Z53" s="55"/>
      <c r="AA53" s="28"/>
      <c r="AB53" s="29"/>
      <c r="AC53" s="29"/>
      <c r="AD53" s="29"/>
      <c r="AE53" s="29"/>
      <c r="AF53" s="28">
        <f>E53</f>
        <v>4.0869999999999997</v>
      </c>
      <c r="AG53" s="29"/>
      <c r="AH53" s="52">
        <f>G53</f>
        <v>203000</v>
      </c>
      <c r="AI53" s="29">
        <f t="shared" si="5"/>
        <v>178639.99659597542</v>
      </c>
      <c r="AJ53" s="51">
        <f>AH53-AI53</f>
        <v>24360.003404024581</v>
      </c>
      <c r="AK53" s="12"/>
      <c r="AL53" s="12"/>
    </row>
    <row r="54" spans="1:38" s="41" customFormat="1" ht="39" customHeight="1">
      <c r="A54" s="153" t="s">
        <v>66</v>
      </c>
      <c r="B54" s="153"/>
      <c r="C54" s="153"/>
      <c r="D54" s="27"/>
      <c r="E54" s="57">
        <f>SUM(E50:E53)</f>
        <v>11.319000000000001</v>
      </c>
      <c r="F54" s="29"/>
      <c r="G54" s="138">
        <f>SUM(G50:G53)</f>
        <v>405987.06967</v>
      </c>
      <c r="H54" s="57" t="e">
        <f>SUM(#REF!)</f>
        <v>#REF!</v>
      </c>
      <c r="I54" s="42" t="e">
        <f>SUM(#REF!)</f>
        <v>#REF!</v>
      </c>
      <c r="J54" s="42" t="e">
        <f>SUM(#REF!)</f>
        <v>#REF!</v>
      </c>
      <c r="K54" s="42"/>
      <c r="L54" s="57" t="e">
        <f>SUM(#REF!)</f>
        <v>#REF!</v>
      </c>
      <c r="M54" s="42"/>
      <c r="N54" s="42"/>
      <c r="O54" s="42"/>
      <c r="P54" s="57">
        <f>SUM(P49:P49)</f>
        <v>0</v>
      </c>
      <c r="Q54" s="42">
        <f>SUM(Q49:Q49)</f>
        <v>0</v>
      </c>
      <c r="R54" s="42">
        <f>SUM(R49:R49)</f>
        <v>0</v>
      </c>
      <c r="S54" s="42"/>
      <c r="T54" s="57"/>
      <c r="U54" s="57"/>
      <c r="V54" s="138"/>
      <c r="W54" s="138"/>
      <c r="X54" s="138"/>
      <c r="Y54" s="138"/>
      <c r="Z54" s="57">
        <f>SUM(Z50:Z51)</f>
        <v>5.6320000000000006</v>
      </c>
      <c r="AA54" s="57"/>
      <c r="AB54" s="138">
        <f>SUM(AB50:AB51)</f>
        <v>162487.06967</v>
      </c>
      <c r="AC54" s="138">
        <f>SUM(AC50:AC51)</f>
        <v>152737.84313999998</v>
      </c>
      <c r="AD54" s="138">
        <f>SUM(AD50:AD51)</f>
        <v>9749.2265300000181</v>
      </c>
      <c r="AE54" s="138"/>
      <c r="AF54" s="57">
        <f>SUM(AF52:AF53)</f>
        <v>5.6869999999999994</v>
      </c>
      <c r="AG54" s="57"/>
      <c r="AH54" s="138">
        <f>SUM(AH52:AH53)</f>
        <v>243500</v>
      </c>
      <c r="AI54" s="138">
        <f>SUM(AI52:AI53)</f>
        <v>214279.99591684737</v>
      </c>
      <c r="AJ54" s="25">
        <f>SUM(AJ52:AJ53)</f>
        <v>29220.004083152635</v>
      </c>
      <c r="AK54" s="48">
        <f>AH54+AB54+V54</f>
        <v>405987.06967</v>
      </c>
      <c r="AL54" s="12"/>
    </row>
    <row r="55" spans="1:38" s="41" customFormat="1" ht="27" customHeight="1">
      <c r="A55" s="146" t="s">
        <v>67</v>
      </c>
      <c r="B55" s="146"/>
      <c r="C55" s="152"/>
      <c r="D55" s="152"/>
      <c r="E55" s="152"/>
      <c r="F55" s="137"/>
      <c r="G55" s="138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9"/>
      <c r="V55" s="29"/>
      <c r="W55" s="29"/>
      <c r="X55" s="29"/>
      <c r="Y55" s="29"/>
      <c r="Z55" s="29"/>
      <c r="AA55" s="27"/>
      <c r="AB55" s="29"/>
      <c r="AC55" s="29"/>
      <c r="AD55" s="29"/>
      <c r="AE55" s="29"/>
      <c r="AF55" s="29"/>
      <c r="AG55" s="29"/>
      <c r="AH55" s="52"/>
      <c r="AI55" s="29"/>
      <c r="AJ55" s="51"/>
      <c r="AK55" s="12"/>
      <c r="AL55" s="12"/>
    </row>
    <row r="56" spans="1:38" s="41" customFormat="1" ht="50.25" customHeight="1">
      <c r="A56" s="26">
        <v>18</v>
      </c>
      <c r="B56" s="65" t="s">
        <v>68</v>
      </c>
      <c r="C56" s="27" t="s">
        <v>69</v>
      </c>
      <c r="D56" s="27"/>
      <c r="E56" s="53">
        <v>3</v>
      </c>
      <c r="F56" s="53"/>
      <c r="G56" s="29">
        <v>77939.765920000005</v>
      </c>
      <c r="H56" s="53"/>
      <c r="I56" s="54"/>
      <c r="J56" s="54"/>
      <c r="K56" s="54"/>
      <c r="L56" s="58"/>
      <c r="M56" s="59"/>
      <c r="N56" s="54"/>
      <c r="O56" s="54"/>
      <c r="P56" s="28"/>
      <c r="Q56" s="54"/>
      <c r="R56" s="54"/>
      <c r="S56" s="54"/>
      <c r="T56" s="28"/>
      <c r="U56" s="29"/>
      <c r="V56" s="29"/>
      <c r="W56" s="29"/>
      <c r="X56" s="29"/>
      <c r="Y56" s="29"/>
      <c r="Z56" s="53">
        <v>3</v>
      </c>
      <c r="AA56" s="28"/>
      <c r="AB56" s="29">
        <f>G56</f>
        <v>77939.765920000005</v>
      </c>
      <c r="AC56" s="29">
        <v>73263.378840000005</v>
      </c>
      <c r="AD56" s="29">
        <f>AB56-AC56</f>
        <v>4676.3870800000004</v>
      </c>
      <c r="AE56" s="29"/>
      <c r="AF56" s="29"/>
      <c r="AG56" s="29"/>
      <c r="AH56" s="52"/>
      <c r="AI56" s="29"/>
      <c r="AJ56" s="51"/>
      <c r="AK56" s="12"/>
      <c r="AL56" s="12"/>
    </row>
    <row r="57" spans="1:38" s="41" customFormat="1" ht="48.75" customHeight="1">
      <c r="A57" s="26">
        <v>19</v>
      </c>
      <c r="B57" s="65" t="s">
        <v>70</v>
      </c>
      <c r="C57" s="27" t="s">
        <v>29</v>
      </c>
      <c r="D57" s="27"/>
      <c r="E57" s="53">
        <v>7</v>
      </c>
      <c r="F57" s="53"/>
      <c r="G57" s="29">
        <f>212000-5000</f>
        <v>207000</v>
      </c>
      <c r="H57" s="53"/>
      <c r="I57" s="54"/>
      <c r="J57" s="54"/>
      <c r="K57" s="54"/>
      <c r="L57" s="58"/>
      <c r="M57" s="59"/>
      <c r="N57" s="54"/>
      <c r="O57" s="54"/>
      <c r="P57" s="28"/>
      <c r="Q57" s="54"/>
      <c r="R57" s="54"/>
      <c r="S57" s="54"/>
      <c r="T57" s="28"/>
      <c r="U57" s="29"/>
      <c r="V57" s="29"/>
      <c r="W57" s="29"/>
      <c r="X57" s="29"/>
      <c r="Y57" s="29"/>
      <c r="Z57" s="53"/>
      <c r="AA57" s="28"/>
      <c r="AB57" s="29"/>
      <c r="AC57" s="125"/>
      <c r="AD57" s="29"/>
      <c r="AE57" s="29"/>
      <c r="AF57" s="28">
        <f>E57</f>
        <v>7</v>
      </c>
      <c r="AG57" s="29"/>
      <c r="AH57" s="52">
        <f>G57</f>
        <v>207000</v>
      </c>
      <c r="AI57" s="29">
        <f t="shared" ref="AI57" si="6">AH57*0.879999983231406</f>
        <v>182159.99652890104</v>
      </c>
      <c r="AJ57" s="51">
        <f>AH57-AI57</f>
        <v>24840.003471098957</v>
      </c>
      <c r="AK57" s="12"/>
      <c r="AL57" s="12"/>
    </row>
    <row r="58" spans="1:38" s="41" customFormat="1" ht="30" customHeight="1">
      <c r="A58" s="153" t="s">
        <v>71</v>
      </c>
      <c r="B58" s="153"/>
      <c r="C58" s="27"/>
      <c r="D58" s="27"/>
      <c r="E58" s="57">
        <f>SUM(E56:E57)</f>
        <v>10</v>
      </c>
      <c r="F58" s="29"/>
      <c r="G58" s="138">
        <f>SUM(G56:G57)</f>
        <v>284939.76592000003</v>
      </c>
      <c r="H58" s="57" t="e">
        <f>SUM(#REF!)</f>
        <v>#REF!</v>
      </c>
      <c r="I58" s="42" t="e">
        <f>SUM(#REF!)</f>
        <v>#REF!</v>
      </c>
      <c r="J58" s="42" t="e">
        <f>SUM(#REF!)</f>
        <v>#REF!</v>
      </c>
      <c r="K58" s="42"/>
      <c r="L58" s="57" t="e">
        <f>SUM(#REF!)</f>
        <v>#REF!</v>
      </c>
      <c r="M58" s="42" t="e">
        <f>SUM(#REF!)</f>
        <v>#REF!</v>
      </c>
      <c r="N58" s="42" t="e">
        <f>SUM(#REF!)</f>
        <v>#REF!</v>
      </c>
      <c r="O58" s="42"/>
      <c r="P58" s="57" t="e">
        <f>SUM(#REF!)</f>
        <v>#REF!</v>
      </c>
      <c r="Q58" s="42" t="e">
        <f>SUM(#REF!)</f>
        <v>#REF!</v>
      </c>
      <c r="R58" s="42" t="e">
        <f>SUM(#REF!)</f>
        <v>#REF!</v>
      </c>
      <c r="S58" s="42"/>
      <c r="T58" s="57"/>
      <c r="U58" s="57"/>
      <c r="V58" s="138"/>
      <c r="W58" s="138"/>
      <c r="X58" s="138"/>
      <c r="Y58" s="138"/>
      <c r="Z58" s="57">
        <f>SUM(Z56:Z56)</f>
        <v>3</v>
      </c>
      <c r="AA58" s="57"/>
      <c r="AB58" s="138">
        <f>SUM(AB56:AB56)</f>
        <v>77939.765920000005</v>
      </c>
      <c r="AC58" s="138">
        <f>SUM(AC56:AC56)</f>
        <v>73263.378840000005</v>
      </c>
      <c r="AD58" s="138">
        <f>SUM(AD56:AD56)</f>
        <v>4676.3870800000004</v>
      </c>
      <c r="AE58" s="138"/>
      <c r="AF58" s="138">
        <f>SUM(AF57)</f>
        <v>7</v>
      </c>
      <c r="AG58" s="138"/>
      <c r="AH58" s="44">
        <f>SUM(AH57)</f>
        <v>207000</v>
      </c>
      <c r="AI58" s="138">
        <f>SUM(AI57)</f>
        <v>182159.99652890104</v>
      </c>
      <c r="AJ58" s="25">
        <f>SUM(AJ57)</f>
        <v>24840.003471098957</v>
      </c>
      <c r="AK58" s="48">
        <f>AH58+AB58+V58</f>
        <v>284939.76592000003</v>
      </c>
      <c r="AL58" s="12"/>
    </row>
    <row r="59" spans="1:38" s="41" customFormat="1" ht="30.75" customHeight="1">
      <c r="A59" s="146" t="s">
        <v>72</v>
      </c>
      <c r="B59" s="146"/>
      <c r="C59" s="152"/>
      <c r="D59" s="152"/>
      <c r="E59" s="152"/>
      <c r="F59" s="137"/>
      <c r="G59" s="138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9"/>
      <c r="V59" s="29"/>
      <c r="W59" s="29"/>
      <c r="X59" s="29"/>
      <c r="Y59" s="29"/>
      <c r="Z59" s="29"/>
      <c r="AA59" s="27"/>
      <c r="AB59" s="29"/>
      <c r="AC59" s="29"/>
      <c r="AD59" s="29"/>
      <c r="AE59" s="29"/>
      <c r="AF59" s="29"/>
      <c r="AG59" s="29"/>
      <c r="AH59" s="52"/>
      <c r="AI59" s="29"/>
      <c r="AJ59" s="51"/>
      <c r="AK59" s="12"/>
      <c r="AL59" s="12"/>
    </row>
    <row r="60" spans="1:38" s="41" customFormat="1" ht="49.5" hidden="1" customHeight="1">
      <c r="A60" s="60">
        <v>19</v>
      </c>
      <c r="B60" s="65" t="s">
        <v>73</v>
      </c>
      <c r="C60" s="27" t="s">
        <v>29</v>
      </c>
      <c r="D60" s="27"/>
      <c r="E60" s="33"/>
      <c r="F60" s="33"/>
      <c r="G60" s="29"/>
      <c r="H60" s="53"/>
      <c r="I60" s="54"/>
      <c r="J60" s="54"/>
      <c r="K60" s="54"/>
      <c r="L60" s="58"/>
      <c r="M60" s="59"/>
      <c r="N60" s="54"/>
      <c r="O60" s="54"/>
      <c r="P60" s="28"/>
      <c r="Q60" s="54"/>
      <c r="R60" s="54"/>
      <c r="S60" s="54"/>
      <c r="T60" s="33"/>
      <c r="U60" s="29"/>
      <c r="V60" s="29"/>
      <c r="W60" s="29"/>
      <c r="X60" s="29"/>
      <c r="Y60" s="29"/>
      <c r="Z60" s="29"/>
      <c r="AA60" s="28"/>
      <c r="AB60" s="29"/>
      <c r="AC60" s="29"/>
      <c r="AD60" s="29"/>
      <c r="AE60" s="29"/>
      <c r="AF60" s="29"/>
      <c r="AG60" s="29"/>
      <c r="AH60" s="52"/>
      <c r="AI60" s="29"/>
      <c r="AJ60" s="51"/>
      <c r="AK60" s="12"/>
      <c r="AL60" s="12"/>
    </row>
    <row r="61" spans="1:38" s="41" customFormat="1" ht="32.25" customHeight="1">
      <c r="A61" s="26">
        <v>20</v>
      </c>
      <c r="B61" s="65" t="s">
        <v>74</v>
      </c>
      <c r="C61" s="27" t="s">
        <v>29</v>
      </c>
      <c r="D61" s="27"/>
      <c r="E61" s="33">
        <v>3.6</v>
      </c>
      <c r="F61" s="33"/>
      <c r="G61" s="29">
        <v>89465.626940000002</v>
      </c>
      <c r="H61" s="53"/>
      <c r="I61" s="54"/>
      <c r="J61" s="54"/>
      <c r="K61" s="54"/>
      <c r="L61" s="58"/>
      <c r="M61" s="59"/>
      <c r="N61" s="54"/>
      <c r="O61" s="54"/>
      <c r="P61" s="28"/>
      <c r="Q61" s="54"/>
      <c r="R61" s="54"/>
      <c r="S61" s="54"/>
      <c r="T61" s="28">
        <f>E61</f>
        <v>3.6</v>
      </c>
      <c r="U61" s="64"/>
      <c r="V61" s="64">
        <f>G61</f>
        <v>89465.626940000002</v>
      </c>
      <c r="W61" s="64"/>
      <c r="X61" s="64">
        <f>V61</f>
        <v>89465.626940000002</v>
      </c>
      <c r="Y61" s="64"/>
      <c r="Z61" s="29"/>
      <c r="AA61" s="28"/>
      <c r="AB61" s="64"/>
      <c r="AC61" s="64"/>
      <c r="AD61" s="64"/>
      <c r="AE61" s="64"/>
      <c r="AF61" s="64"/>
      <c r="AG61" s="29"/>
      <c r="AH61" s="52"/>
      <c r="AI61" s="29"/>
      <c r="AJ61" s="51"/>
      <c r="AK61" s="12"/>
      <c r="AL61" s="12"/>
    </row>
    <row r="62" spans="1:38" s="41" customFormat="1" ht="43.5" hidden="1" customHeight="1">
      <c r="A62" s="26"/>
      <c r="B62" s="65" t="s">
        <v>75</v>
      </c>
      <c r="C62" s="27" t="s">
        <v>29</v>
      </c>
      <c r="D62" s="27"/>
      <c r="E62" s="33"/>
      <c r="F62" s="33"/>
      <c r="G62" s="29"/>
      <c r="H62" s="53"/>
      <c r="I62" s="54"/>
      <c r="J62" s="54"/>
      <c r="K62" s="54"/>
      <c r="L62" s="58"/>
      <c r="M62" s="59"/>
      <c r="N62" s="54"/>
      <c r="O62" s="54"/>
      <c r="P62" s="28"/>
      <c r="Q62" s="54"/>
      <c r="R62" s="54"/>
      <c r="S62" s="54"/>
      <c r="T62" s="33"/>
      <c r="U62" s="29"/>
      <c r="V62" s="29"/>
      <c r="W62" s="29"/>
      <c r="X62" s="29"/>
      <c r="Y62" s="29"/>
      <c r="Z62" s="29"/>
      <c r="AA62" s="28"/>
      <c r="AB62" s="64"/>
      <c r="AC62" s="64"/>
      <c r="AD62" s="64"/>
      <c r="AE62" s="64"/>
      <c r="AF62" s="64"/>
      <c r="AG62" s="29"/>
      <c r="AH62" s="52"/>
      <c r="AI62" s="29"/>
      <c r="AJ62" s="51"/>
      <c r="AK62" s="12"/>
      <c r="AL62" s="12"/>
    </row>
    <row r="63" spans="1:38" s="41" customFormat="1" ht="63" hidden="1" customHeight="1">
      <c r="A63" s="26"/>
      <c r="B63" s="65" t="s">
        <v>76</v>
      </c>
      <c r="C63" s="27" t="s">
        <v>29</v>
      </c>
      <c r="D63" s="27"/>
      <c r="E63" s="33"/>
      <c r="F63" s="33"/>
      <c r="G63" s="29"/>
      <c r="H63" s="53"/>
      <c r="I63" s="54"/>
      <c r="J63" s="54"/>
      <c r="K63" s="54"/>
      <c r="L63" s="58"/>
      <c r="M63" s="59"/>
      <c r="N63" s="54"/>
      <c r="O63" s="54"/>
      <c r="P63" s="28"/>
      <c r="Q63" s="54"/>
      <c r="R63" s="54"/>
      <c r="S63" s="54"/>
      <c r="T63" s="33"/>
      <c r="U63" s="29"/>
      <c r="V63" s="29"/>
      <c r="W63" s="29"/>
      <c r="X63" s="29"/>
      <c r="Y63" s="29"/>
      <c r="Z63" s="29"/>
      <c r="AA63" s="28"/>
      <c r="AB63" s="29"/>
      <c r="AC63" s="29"/>
      <c r="AD63" s="29"/>
      <c r="AE63" s="29"/>
      <c r="AF63" s="29"/>
      <c r="AG63" s="29"/>
      <c r="AH63" s="52"/>
      <c r="AI63" s="29"/>
      <c r="AJ63" s="51"/>
      <c r="AK63" s="12"/>
      <c r="AL63" s="12"/>
    </row>
    <row r="64" spans="1:38" s="41" customFormat="1" ht="63" hidden="1" customHeight="1">
      <c r="A64" s="26">
        <v>23</v>
      </c>
      <c r="B64" s="65" t="s">
        <v>77</v>
      </c>
      <c r="C64" s="27" t="s">
        <v>29</v>
      </c>
      <c r="D64" s="27"/>
      <c r="E64" s="33"/>
      <c r="F64" s="33"/>
      <c r="G64" s="29"/>
      <c r="H64" s="53"/>
      <c r="I64" s="54"/>
      <c r="J64" s="54"/>
      <c r="K64" s="54"/>
      <c r="L64" s="58"/>
      <c r="M64" s="59"/>
      <c r="N64" s="54"/>
      <c r="O64" s="54"/>
      <c r="P64" s="28"/>
      <c r="Q64" s="54"/>
      <c r="R64" s="54"/>
      <c r="S64" s="54"/>
      <c r="T64" s="33"/>
      <c r="U64" s="29"/>
      <c r="V64" s="29"/>
      <c r="W64" s="29"/>
      <c r="X64" s="29"/>
      <c r="Y64" s="29"/>
      <c r="Z64" s="29"/>
      <c r="AA64" s="28"/>
      <c r="AB64" s="29"/>
      <c r="AC64" s="29"/>
      <c r="AD64" s="29"/>
      <c r="AE64" s="29"/>
      <c r="AF64" s="29"/>
      <c r="AG64" s="29"/>
      <c r="AH64" s="52"/>
      <c r="AI64" s="29"/>
      <c r="AJ64" s="51"/>
      <c r="AK64" s="12"/>
      <c r="AL64" s="12"/>
    </row>
    <row r="65" spans="1:38" s="41" customFormat="1" ht="69" customHeight="1">
      <c r="A65" s="26">
        <v>21</v>
      </c>
      <c r="B65" s="65" t="s">
        <v>78</v>
      </c>
      <c r="C65" s="27" t="s">
        <v>29</v>
      </c>
      <c r="D65" s="27"/>
      <c r="E65" s="33">
        <f>14-6.85</f>
        <v>7.15</v>
      </c>
      <c r="F65" s="33"/>
      <c r="G65" s="29">
        <v>211713.8075</v>
      </c>
      <c r="H65" s="53"/>
      <c r="I65" s="54"/>
      <c r="J65" s="54"/>
      <c r="K65" s="54"/>
      <c r="L65" s="58"/>
      <c r="M65" s="59"/>
      <c r="N65" s="54"/>
      <c r="O65" s="54"/>
      <c r="P65" s="28"/>
      <c r="Q65" s="54"/>
      <c r="R65" s="54"/>
      <c r="S65" s="54"/>
      <c r="T65" s="33"/>
      <c r="U65" s="29"/>
      <c r="V65" s="29"/>
      <c r="W65" s="29"/>
      <c r="X65" s="29"/>
      <c r="Y65" s="29"/>
      <c r="Z65" s="28">
        <f>E65</f>
        <v>7.15</v>
      </c>
      <c r="AA65" s="28"/>
      <c r="AB65" s="29">
        <f>G65</f>
        <v>211713.8075</v>
      </c>
      <c r="AC65" s="29">
        <v>199010.97599000001</v>
      </c>
      <c r="AD65" s="29">
        <f>AB65-AC65</f>
        <v>12702.831509999989</v>
      </c>
      <c r="AE65" s="29"/>
      <c r="AF65" s="29"/>
      <c r="AG65" s="29"/>
      <c r="AH65" s="52"/>
      <c r="AI65" s="29"/>
      <c r="AJ65" s="51"/>
      <c r="AK65" s="12"/>
      <c r="AL65" s="12"/>
    </row>
    <row r="66" spans="1:38" s="41" customFormat="1" ht="71.25" customHeight="1">
      <c r="A66" s="26">
        <v>22</v>
      </c>
      <c r="B66" s="65" t="s">
        <v>79</v>
      </c>
      <c r="C66" s="27" t="s">
        <v>29</v>
      </c>
      <c r="D66" s="27"/>
      <c r="E66" s="33">
        <v>6.85</v>
      </c>
      <c r="F66" s="33"/>
      <c r="G66" s="29">
        <v>199456.93004000001</v>
      </c>
      <c r="H66" s="53"/>
      <c r="I66" s="54"/>
      <c r="J66" s="54"/>
      <c r="K66" s="54"/>
      <c r="L66" s="58"/>
      <c r="M66" s="59"/>
      <c r="N66" s="54"/>
      <c r="O66" s="54"/>
      <c r="P66" s="28"/>
      <c r="Q66" s="54"/>
      <c r="R66" s="54"/>
      <c r="S66" s="54"/>
      <c r="T66" s="33"/>
      <c r="U66" s="29"/>
      <c r="V66" s="29"/>
      <c r="W66" s="29"/>
      <c r="X66" s="29"/>
      <c r="Y66" s="29"/>
      <c r="Z66" s="28">
        <f>E66</f>
        <v>6.85</v>
      </c>
      <c r="AA66" s="28"/>
      <c r="AB66" s="29">
        <f>G66</f>
        <v>199456.93004000001</v>
      </c>
      <c r="AC66" s="29">
        <v>187489.51134999999</v>
      </c>
      <c r="AD66" s="29">
        <f>AB66-AC66</f>
        <v>11967.41869000002</v>
      </c>
      <c r="AE66" s="29"/>
      <c r="AF66" s="28"/>
      <c r="AG66" s="29"/>
      <c r="AH66" s="52"/>
      <c r="AI66" s="29"/>
      <c r="AJ66" s="51"/>
      <c r="AK66" s="12"/>
      <c r="AL66" s="12"/>
    </row>
    <row r="67" spans="1:38" s="41" customFormat="1" ht="32.25" customHeight="1">
      <c r="A67" s="26">
        <v>23</v>
      </c>
      <c r="B67" s="65" t="s">
        <v>80</v>
      </c>
      <c r="C67" s="27" t="s">
        <v>42</v>
      </c>
      <c r="D67" s="27"/>
      <c r="E67" s="33">
        <v>5</v>
      </c>
      <c r="F67" s="33"/>
      <c r="G67" s="29">
        <f>E67*70000-40000-17000</f>
        <v>293000</v>
      </c>
      <c r="H67" s="53"/>
      <c r="I67" s="54"/>
      <c r="J67" s="54"/>
      <c r="K67" s="54"/>
      <c r="L67" s="58"/>
      <c r="M67" s="59"/>
      <c r="N67" s="54"/>
      <c r="O67" s="54"/>
      <c r="P67" s="28"/>
      <c r="Q67" s="54"/>
      <c r="R67" s="54"/>
      <c r="S67" s="54"/>
      <c r="T67" s="33"/>
      <c r="U67" s="29"/>
      <c r="V67" s="29"/>
      <c r="W67" s="29"/>
      <c r="X67" s="29"/>
      <c r="Y67" s="29"/>
      <c r="Z67" s="28"/>
      <c r="AA67" s="28"/>
      <c r="AB67" s="29"/>
      <c r="AC67" s="29"/>
      <c r="AD67" s="29"/>
      <c r="AE67" s="29"/>
      <c r="AF67" s="28">
        <f>E67</f>
        <v>5</v>
      </c>
      <c r="AG67" s="29"/>
      <c r="AH67" s="52">
        <f>G67</f>
        <v>293000</v>
      </c>
      <c r="AI67" s="29">
        <f t="shared" ref="AI67" si="7">AH67*0.879999983231406</f>
        <v>257839.99508680197</v>
      </c>
      <c r="AJ67" s="51">
        <f>AH67-AI67</f>
        <v>35160.004913198034</v>
      </c>
      <c r="AK67" s="12"/>
      <c r="AL67" s="12"/>
    </row>
    <row r="68" spans="1:38" s="41" customFormat="1" ht="42" customHeight="1">
      <c r="A68" s="153" t="s">
        <v>81</v>
      </c>
      <c r="B68" s="153"/>
      <c r="C68" s="27"/>
      <c r="D68" s="27"/>
      <c r="E68" s="57">
        <f>SUM(E61:E67)</f>
        <v>22.6</v>
      </c>
      <c r="F68" s="29"/>
      <c r="G68" s="138">
        <f>SUM(G61:G67)</f>
        <v>793636.36447999999</v>
      </c>
      <c r="H68" s="57" t="e">
        <f>SUM(#REF!)</f>
        <v>#REF!</v>
      </c>
      <c r="I68" s="42" t="e">
        <f>SUM(#REF!)</f>
        <v>#REF!</v>
      </c>
      <c r="J68" s="42" t="e">
        <f>SUM(#REF!)</f>
        <v>#REF!</v>
      </c>
      <c r="K68" s="42"/>
      <c r="L68" s="57" t="e">
        <f>SUM(#REF!)</f>
        <v>#REF!</v>
      </c>
      <c r="M68" s="42" t="e">
        <f>SUM(#REF!)</f>
        <v>#REF!</v>
      </c>
      <c r="N68" s="42" t="e">
        <f>SUM(#REF!)</f>
        <v>#REF!</v>
      </c>
      <c r="O68" s="42" t="e">
        <f>SUM(#REF!)</f>
        <v>#REF!</v>
      </c>
      <c r="P68" s="57">
        <f>SUM(P60:P62)</f>
        <v>0</v>
      </c>
      <c r="Q68" s="42">
        <f>SUM(Q60:Q62)</f>
        <v>0</v>
      </c>
      <c r="R68" s="42">
        <f>SUM(R60:R62)</f>
        <v>0</v>
      </c>
      <c r="S68" s="42">
        <f>SUM(S60:S62)</f>
        <v>0</v>
      </c>
      <c r="T68" s="57">
        <f>SUM(T60:T62)</f>
        <v>3.6</v>
      </c>
      <c r="U68" s="138"/>
      <c r="V68" s="138">
        <f>SUM(V60:V62)</f>
        <v>89465.626940000002</v>
      </c>
      <c r="W68" s="138"/>
      <c r="X68" s="138">
        <f>SUM(X60:X62)</f>
        <v>89465.626940000002</v>
      </c>
      <c r="Y68" s="138"/>
      <c r="Z68" s="57">
        <f>SUM(Z65:Z67)</f>
        <v>14</v>
      </c>
      <c r="AA68" s="57"/>
      <c r="AB68" s="138">
        <f>SUM(AB65:AB67)</f>
        <v>411170.73754</v>
      </c>
      <c r="AC68" s="138">
        <f>SUM(AC65:AC67)</f>
        <v>386500.48733999999</v>
      </c>
      <c r="AD68" s="138">
        <f>SUM(AD65:AD66)</f>
        <v>24670.250200000009</v>
      </c>
      <c r="AE68" s="138"/>
      <c r="AF68" s="138">
        <f>SUM(AF66:AF67)</f>
        <v>5</v>
      </c>
      <c r="AG68" s="138"/>
      <c r="AH68" s="44">
        <f>SUM(AH66:AH67)</f>
        <v>293000</v>
      </c>
      <c r="AI68" s="138">
        <f>SUM(AI66:AI67)</f>
        <v>257839.99508680197</v>
      </c>
      <c r="AJ68" s="25">
        <f>SUM(AJ66:AJ67)</f>
        <v>35160.004913198034</v>
      </c>
      <c r="AK68" s="48">
        <f>AH68+AB68+V68</f>
        <v>793636.36447999999</v>
      </c>
      <c r="AL68" s="12"/>
    </row>
    <row r="69" spans="1:38" s="41" customFormat="1" ht="29.25" hidden="1" customHeight="1">
      <c r="A69" s="148" t="s">
        <v>82</v>
      </c>
      <c r="B69" s="148"/>
      <c r="C69" s="152"/>
      <c r="D69" s="152"/>
      <c r="E69" s="152"/>
      <c r="F69" s="137"/>
      <c r="G69" s="138"/>
      <c r="H69" s="27"/>
      <c r="I69" s="27"/>
      <c r="J69" s="27"/>
      <c r="K69" s="27"/>
      <c r="L69" s="27"/>
      <c r="M69" s="27"/>
      <c r="N69" s="27"/>
      <c r="O69" s="27"/>
      <c r="P69" s="27"/>
      <c r="Q69" s="54"/>
      <c r="R69" s="27"/>
      <c r="S69" s="27"/>
      <c r="T69" s="27"/>
      <c r="U69" s="29"/>
      <c r="V69" s="29"/>
      <c r="W69" s="29"/>
      <c r="X69" s="29"/>
      <c r="Y69" s="29"/>
      <c r="Z69" s="29"/>
      <c r="AA69" s="27"/>
      <c r="AB69" s="29"/>
      <c r="AC69" s="29"/>
      <c r="AD69" s="29"/>
      <c r="AE69" s="29"/>
      <c r="AF69" s="29"/>
      <c r="AG69" s="29"/>
      <c r="AH69" s="52"/>
      <c r="AI69" s="29"/>
      <c r="AJ69" s="51"/>
      <c r="AK69" s="12"/>
      <c r="AL69" s="12"/>
    </row>
    <row r="70" spans="1:38" s="41" customFormat="1" ht="48" hidden="1" customHeight="1">
      <c r="A70" s="60"/>
      <c r="B70" s="65" t="s">
        <v>83</v>
      </c>
      <c r="C70" s="27" t="s">
        <v>29</v>
      </c>
      <c r="D70" s="27"/>
      <c r="E70" s="33"/>
      <c r="F70" s="33"/>
      <c r="G70" s="29"/>
      <c r="H70" s="53"/>
      <c r="I70" s="54"/>
      <c r="J70" s="54"/>
      <c r="K70" s="54"/>
      <c r="L70" s="58"/>
      <c r="M70" s="59"/>
      <c r="N70" s="54"/>
      <c r="O70" s="54"/>
      <c r="P70" s="58"/>
      <c r="Q70" s="59"/>
      <c r="R70" s="54"/>
      <c r="S70" s="54"/>
      <c r="T70" s="28"/>
      <c r="U70" s="29"/>
      <c r="V70" s="29"/>
      <c r="W70" s="29"/>
      <c r="X70" s="29"/>
      <c r="Y70" s="29"/>
      <c r="Z70" s="29"/>
      <c r="AA70" s="28"/>
      <c r="AB70" s="64"/>
      <c r="AC70" s="64"/>
      <c r="AD70" s="64"/>
      <c r="AE70" s="64"/>
      <c r="AF70" s="64"/>
      <c r="AG70" s="29"/>
      <c r="AH70" s="52"/>
      <c r="AI70" s="29"/>
      <c r="AJ70" s="51"/>
      <c r="AK70" s="12"/>
      <c r="AL70" s="12"/>
    </row>
    <row r="71" spans="1:38" s="41" customFormat="1" ht="55.5" hidden="1" customHeight="1">
      <c r="A71" s="66"/>
      <c r="B71" s="65"/>
      <c r="C71" s="27"/>
      <c r="D71" s="27"/>
      <c r="E71" s="33"/>
      <c r="F71" s="53"/>
      <c r="G71" s="29"/>
      <c r="H71" s="53"/>
      <c r="I71" s="54"/>
      <c r="J71" s="54"/>
      <c r="K71" s="54"/>
      <c r="L71" s="58"/>
      <c r="M71" s="59"/>
      <c r="N71" s="54"/>
      <c r="O71" s="54"/>
      <c r="P71" s="58"/>
      <c r="Q71" s="59"/>
      <c r="R71" s="54"/>
      <c r="S71" s="54"/>
      <c r="T71" s="33"/>
      <c r="U71" s="29"/>
      <c r="V71" s="29"/>
      <c r="W71" s="29"/>
      <c r="X71" s="29"/>
      <c r="Y71" s="29"/>
      <c r="Z71" s="53"/>
      <c r="AA71" s="28"/>
      <c r="AB71" s="29"/>
      <c r="AC71" s="29"/>
      <c r="AD71" s="29"/>
      <c r="AE71" s="29"/>
      <c r="AF71" s="29"/>
      <c r="AG71" s="29"/>
      <c r="AH71" s="52"/>
      <c r="AI71" s="29"/>
      <c r="AJ71" s="51"/>
      <c r="AK71" s="12"/>
      <c r="AL71" s="12"/>
    </row>
    <row r="72" spans="1:38" s="41" customFormat="1" ht="32.25" hidden="1" customHeight="1">
      <c r="A72" s="149" t="s">
        <v>84</v>
      </c>
      <c r="B72" s="149"/>
      <c r="C72" s="149"/>
      <c r="D72" s="30"/>
      <c r="E72" s="57">
        <f>SUM(E71:E71)</f>
        <v>0</v>
      </c>
      <c r="F72" s="57"/>
      <c r="G72" s="138">
        <f>SUM(G71:G71)</f>
        <v>0</v>
      </c>
      <c r="H72" s="57" t="e">
        <f>SUM(#REF!)</f>
        <v>#REF!</v>
      </c>
      <c r="I72" s="42" t="e">
        <f>SUM(#REF!)</f>
        <v>#REF!</v>
      </c>
      <c r="J72" s="42" t="e">
        <f>SUM(#REF!)</f>
        <v>#REF!</v>
      </c>
      <c r="K72" s="42"/>
      <c r="L72" s="57" t="e">
        <f>SUM(#REF!)</f>
        <v>#REF!</v>
      </c>
      <c r="M72" s="42" t="e">
        <f>SUM(#REF!)</f>
        <v>#REF!</v>
      </c>
      <c r="N72" s="42" t="e">
        <f>SUM(#REF!)</f>
        <v>#REF!</v>
      </c>
      <c r="O72" s="42" t="e">
        <f>SUM(#REF!)</f>
        <v>#REF!</v>
      </c>
      <c r="P72" s="57">
        <f>SUM(P70:P70)</f>
        <v>0</v>
      </c>
      <c r="Q72" s="42">
        <f>SUM(Q70:Q70)</f>
        <v>0</v>
      </c>
      <c r="R72" s="42">
        <f>SUM(R70:R70)</f>
        <v>0</v>
      </c>
      <c r="S72" s="42">
        <f>SUM(S70:S70)</f>
        <v>0</v>
      </c>
      <c r="T72" s="57">
        <f>SUM(T70:T70)</f>
        <v>0</v>
      </c>
      <c r="U72" s="57"/>
      <c r="V72" s="138">
        <f>SUM(V70:V70)</f>
        <v>0</v>
      </c>
      <c r="W72" s="138">
        <f>SUM(W70:W70)</f>
        <v>0</v>
      </c>
      <c r="X72" s="138">
        <f>SUM(X70:X70)</f>
        <v>0</v>
      </c>
      <c r="Y72" s="138"/>
      <c r="Z72" s="57"/>
      <c r="AA72" s="57"/>
      <c r="AB72" s="138"/>
      <c r="AC72" s="138"/>
      <c r="AD72" s="138"/>
      <c r="AE72" s="138"/>
      <c r="AF72" s="138"/>
      <c r="AG72" s="138"/>
      <c r="AH72" s="44"/>
      <c r="AI72" s="138"/>
      <c r="AJ72" s="25"/>
      <c r="AK72" s="12"/>
      <c r="AL72" s="12"/>
    </row>
    <row r="73" spans="1:38" s="41" customFormat="1" ht="33" customHeight="1">
      <c r="A73" s="146" t="s">
        <v>85</v>
      </c>
      <c r="B73" s="146"/>
      <c r="C73" s="152"/>
      <c r="D73" s="152"/>
      <c r="E73" s="152"/>
      <c r="F73" s="137"/>
      <c r="G73" s="138"/>
      <c r="H73" s="27"/>
      <c r="I73" s="27"/>
      <c r="J73" s="27"/>
      <c r="K73" s="27"/>
      <c r="L73" s="27"/>
      <c r="M73" s="27"/>
      <c r="N73" s="27"/>
      <c r="O73" s="27"/>
      <c r="P73" s="27"/>
      <c r="Q73" s="27"/>
      <c r="R73" s="27"/>
      <c r="S73" s="27"/>
      <c r="T73" s="27"/>
      <c r="U73" s="29"/>
      <c r="V73" s="29"/>
      <c r="W73" s="29"/>
      <c r="X73" s="29"/>
      <c r="Y73" s="29"/>
      <c r="Z73" s="29"/>
      <c r="AA73" s="27"/>
      <c r="AB73" s="29"/>
      <c r="AC73" s="29"/>
      <c r="AD73" s="29"/>
      <c r="AE73" s="29"/>
      <c r="AF73" s="29"/>
      <c r="AG73" s="29"/>
      <c r="AH73" s="52"/>
      <c r="AI73" s="29"/>
      <c r="AJ73" s="51"/>
      <c r="AK73" s="12"/>
      <c r="AL73" s="12"/>
    </row>
    <row r="74" spans="1:38" s="41" customFormat="1" ht="34.5" customHeight="1">
      <c r="A74" s="26">
        <v>24</v>
      </c>
      <c r="B74" s="65" t="s">
        <v>86</v>
      </c>
      <c r="C74" s="27" t="s">
        <v>46</v>
      </c>
      <c r="D74" s="137"/>
      <c r="E74" s="33">
        <v>3.9</v>
      </c>
      <c r="F74" s="29"/>
      <c r="G74" s="29">
        <v>113123.16094</v>
      </c>
      <c r="H74" s="27"/>
      <c r="I74" s="27"/>
      <c r="J74" s="27"/>
      <c r="K74" s="27"/>
      <c r="L74" s="27"/>
      <c r="M74" s="27"/>
      <c r="N74" s="27"/>
      <c r="O74" s="27"/>
      <c r="P74" s="27"/>
      <c r="Q74" s="27"/>
      <c r="R74" s="27"/>
      <c r="S74" s="27"/>
      <c r="T74" s="27"/>
      <c r="U74" s="29"/>
      <c r="V74" s="29"/>
      <c r="W74" s="29"/>
      <c r="X74" s="29"/>
      <c r="Y74" s="29"/>
      <c r="Z74" s="29">
        <f>E74</f>
        <v>3.9</v>
      </c>
      <c r="AA74" s="27"/>
      <c r="AB74" s="29">
        <f>G74</f>
        <v>113123.16094</v>
      </c>
      <c r="AC74" s="29">
        <v>106335.76965</v>
      </c>
      <c r="AD74" s="29">
        <f>AB74-AC74</f>
        <v>6787.3912899999996</v>
      </c>
      <c r="AE74" s="29"/>
      <c r="AF74" s="29"/>
      <c r="AG74" s="29"/>
      <c r="AH74" s="52"/>
      <c r="AI74" s="29"/>
      <c r="AJ74" s="51"/>
      <c r="AK74" s="12"/>
      <c r="AL74" s="12"/>
    </row>
    <row r="75" spans="1:38" s="41" customFormat="1" ht="51" customHeight="1">
      <c r="A75" s="26">
        <v>25</v>
      </c>
      <c r="B75" s="65" t="s">
        <v>87</v>
      </c>
      <c r="C75" s="27" t="s">
        <v>42</v>
      </c>
      <c r="D75" s="137"/>
      <c r="E75" s="33">
        <v>6</v>
      </c>
      <c r="F75" s="29"/>
      <c r="G75" s="29">
        <f>E75*60000-60000-19000</f>
        <v>281000</v>
      </c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9"/>
      <c r="V75" s="29"/>
      <c r="W75" s="29"/>
      <c r="X75" s="29" t="s">
        <v>45</v>
      </c>
      <c r="Y75" s="29"/>
      <c r="Z75" s="28"/>
      <c r="AA75" s="27"/>
      <c r="AB75" s="29"/>
      <c r="AC75" s="29"/>
      <c r="AD75" s="29"/>
      <c r="AE75" s="29"/>
      <c r="AF75" s="28">
        <f>E75</f>
        <v>6</v>
      </c>
      <c r="AG75" s="29"/>
      <c r="AH75" s="52">
        <f>G75</f>
        <v>281000</v>
      </c>
      <c r="AI75" s="29">
        <f t="shared" ref="AI75" si="8">AH75*0.879999983231406</f>
        <v>247279.99528802509</v>
      </c>
      <c r="AJ75" s="51">
        <f>AH75-AI75</f>
        <v>33720.004711974907</v>
      </c>
      <c r="AK75" s="12"/>
      <c r="AL75" s="12"/>
    </row>
    <row r="76" spans="1:38" s="41" customFormat="1" ht="32.25" customHeight="1">
      <c r="A76" s="66"/>
      <c r="B76" s="50" t="s">
        <v>52</v>
      </c>
      <c r="C76" s="27"/>
      <c r="D76" s="27"/>
      <c r="E76" s="56">
        <f>T76+Z76</f>
        <v>6.3460000000000001</v>
      </c>
      <c r="F76" s="56"/>
      <c r="G76" s="29">
        <f>V76+AB76</f>
        <v>274941</v>
      </c>
      <c r="H76" s="53"/>
      <c r="I76" s="54"/>
      <c r="J76" s="54"/>
      <c r="K76" s="54"/>
      <c r="L76" s="58"/>
      <c r="M76" s="59"/>
      <c r="N76" s="54"/>
      <c r="O76" s="54"/>
      <c r="P76" s="28"/>
      <c r="Q76" s="54"/>
      <c r="R76" s="54"/>
      <c r="S76" s="54"/>
      <c r="T76" s="29">
        <v>4.5209999999999999</v>
      </c>
      <c r="U76" s="29"/>
      <c r="V76" s="29">
        <v>186480</v>
      </c>
      <c r="W76" s="29"/>
      <c r="X76" s="29">
        <f>V76</f>
        <v>186480</v>
      </c>
      <c r="Y76" s="29"/>
      <c r="Z76" s="29">
        <v>1.825</v>
      </c>
      <c r="AA76" s="27"/>
      <c r="AB76" s="29">
        <v>88461</v>
      </c>
      <c r="AC76" s="29"/>
      <c r="AD76" s="29">
        <f>AB76</f>
        <v>88461</v>
      </c>
      <c r="AE76" s="29"/>
      <c r="AF76" s="29"/>
      <c r="AG76" s="29"/>
      <c r="AH76" s="52"/>
      <c r="AI76" s="29"/>
      <c r="AJ76" s="51"/>
      <c r="AK76" s="12"/>
      <c r="AL76" s="12"/>
    </row>
    <row r="77" spans="1:38" s="41" customFormat="1" ht="33" customHeight="1">
      <c r="A77" s="154" t="s">
        <v>88</v>
      </c>
      <c r="B77" s="155"/>
      <c r="C77" s="156"/>
      <c r="D77" s="27"/>
      <c r="E77" s="57">
        <f>SUM(E74:E76)</f>
        <v>16.246000000000002</v>
      </c>
      <c r="F77" s="57"/>
      <c r="G77" s="138">
        <f>SUM(G74:G76)</f>
        <v>669064.16093999997</v>
      </c>
      <c r="H77" s="57" t="e">
        <f>SUM(#REF!)</f>
        <v>#REF!</v>
      </c>
      <c r="I77" s="42" t="e">
        <f>SUM(#REF!)</f>
        <v>#REF!</v>
      </c>
      <c r="J77" s="42" t="e">
        <f>SUM(#REF!)</f>
        <v>#REF!</v>
      </c>
      <c r="K77" s="42"/>
      <c r="L77" s="57" t="e">
        <f>SUM(#REF!)</f>
        <v>#REF!</v>
      </c>
      <c r="M77" s="42" t="e">
        <f>SUM(#REF!)</f>
        <v>#REF!</v>
      </c>
      <c r="N77" s="42" t="e">
        <f>SUM(#REF!)</f>
        <v>#REF!</v>
      </c>
      <c r="O77" s="42" t="e">
        <f>SUM(#REF!)</f>
        <v>#REF!</v>
      </c>
      <c r="P77" s="57" t="e">
        <f>SUM(#REF!)</f>
        <v>#REF!</v>
      </c>
      <c r="Q77" s="42" t="e">
        <f>SUM(#REF!)</f>
        <v>#REF!</v>
      </c>
      <c r="R77" s="42" t="e">
        <f>SUM(#REF!)</f>
        <v>#REF!</v>
      </c>
      <c r="S77" s="42"/>
      <c r="T77" s="57">
        <f>SUM(T76:T76)</f>
        <v>4.5209999999999999</v>
      </c>
      <c r="U77" s="138"/>
      <c r="V77" s="138">
        <f>SUM(V76:V76)</f>
        <v>186480</v>
      </c>
      <c r="W77" s="138"/>
      <c r="X77" s="138">
        <f>SUM(X76:X76)</f>
        <v>186480</v>
      </c>
      <c r="Y77" s="138"/>
      <c r="Z77" s="57">
        <f>SUM(Z74:Z76)</f>
        <v>5.7249999999999996</v>
      </c>
      <c r="AA77" s="138"/>
      <c r="AB77" s="138">
        <f>SUM(AB74:AB76)</f>
        <v>201584.16094</v>
      </c>
      <c r="AC77" s="138">
        <f>SUM(AC74:AC76)</f>
        <v>106335.76965</v>
      </c>
      <c r="AD77" s="138">
        <f>SUM(AD74:AD76)</f>
        <v>95248.39129</v>
      </c>
      <c r="AE77" s="138"/>
      <c r="AF77" s="57">
        <f>SUM(AF74:AF76)</f>
        <v>6</v>
      </c>
      <c r="AG77" s="57"/>
      <c r="AH77" s="138">
        <f>SUM(AH74:AH76)</f>
        <v>281000</v>
      </c>
      <c r="AI77" s="138">
        <f>SUM(AI74:AI76)</f>
        <v>247279.99528802509</v>
      </c>
      <c r="AJ77" s="25">
        <f>SUM(AJ74:AJ76)</f>
        <v>33720.004711974907</v>
      </c>
      <c r="AK77" s="48">
        <f>AH77+AB77+V77</f>
        <v>669064.16093999997</v>
      </c>
      <c r="AL77" s="12"/>
    </row>
    <row r="78" spans="1:38" s="41" customFormat="1" ht="30" customHeight="1">
      <c r="A78" s="146" t="s">
        <v>89</v>
      </c>
      <c r="B78" s="146"/>
      <c r="C78" s="152"/>
      <c r="D78" s="152"/>
      <c r="E78" s="152"/>
      <c r="F78" s="137"/>
      <c r="G78" s="138"/>
      <c r="H78" s="27"/>
      <c r="I78" s="27"/>
      <c r="J78" s="27"/>
      <c r="K78" s="27"/>
      <c r="L78" s="27"/>
      <c r="M78" s="27"/>
      <c r="N78" s="27"/>
      <c r="O78" s="27"/>
      <c r="P78" s="27"/>
      <c r="Q78" s="27"/>
      <c r="R78" s="27"/>
      <c r="S78" s="27"/>
      <c r="T78" s="27"/>
      <c r="U78" s="29"/>
      <c r="V78" s="29"/>
      <c r="W78" s="29"/>
      <c r="X78" s="29"/>
      <c r="Y78" s="29"/>
      <c r="Z78" s="29"/>
      <c r="AA78" s="27"/>
      <c r="AB78" s="29"/>
      <c r="AC78" s="29"/>
      <c r="AD78" s="29"/>
      <c r="AE78" s="29"/>
      <c r="AF78" s="29"/>
      <c r="AG78" s="29"/>
      <c r="AH78" s="52"/>
      <c r="AI78" s="29"/>
      <c r="AJ78" s="51"/>
      <c r="AK78" s="12"/>
      <c r="AL78" s="12"/>
    </row>
    <row r="79" spans="1:38" s="41" customFormat="1" ht="43.5" customHeight="1">
      <c r="A79" s="26">
        <v>26</v>
      </c>
      <c r="B79" s="65" t="s">
        <v>90</v>
      </c>
      <c r="C79" s="27" t="s">
        <v>29</v>
      </c>
      <c r="D79" s="27"/>
      <c r="E79" s="33">
        <v>2.2999999999999998</v>
      </c>
      <c r="F79" s="33"/>
      <c r="G79" s="29">
        <v>58857.782299999999</v>
      </c>
      <c r="H79" s="53"/>
      <c r="I79" s="54"/>
      <c r="J79" s="54"/>
      <c r="K79" s="54"/>
      <c r="L79" s="58"/>
      <c r="M79" s="59"/>
      <c r="N79" s="54"/>
      <c r="O79" s="54"/>
      <c r="P79" s="28"/>
      <c r="Q79" s="54"/>
      <c r="R79" s="54"/>
      <c r="S79" s="54"/>
      <c r="T79" s="28">
        <f>E79</f>
        <v>2.2999999999999998</v>
      </c>
      <c r="U79" s="29"/>
      <c r="V79" s="29">
        <f>G79</f>
        <v>58857.782299999999</v>
      </c>
      <c r="W79" s="29"/>
      <c r="X79" s="29">
        <f>V79</f>
        <v>58857.782299999999</v>
      </c>
      <c r="Y79" s="29"/>
      <c r="Z79" s="33"/>
      <c r="AA79" s="28"/>
      <c r="AB79" s="29"/>
      <c r="AC79" s="29"/>
      <c r="AD79" s="29"/>
      <c r="AE79" s="29"/>
      <c r="AF79" s="29"/>
      <c r="AG79" s="29"/>
      <c r="AH79" s="52"/>
      <c r="AI79" s="29"/>
      <c r="AJ79" s="51"/>
      <c r="AK79" s="12"/>
      <c r="AL79" s="12"/>
    </row>
    <row r="80" spans="1:38" s="41" customFormat="1" ht="73.5" customHeight="1">
      <c r="A80" s="26">
        <v>27</v>
      </c>
      <c r="B80" s="65" t="s">
        <v>91</v>
      </c>
      <c r="C80" s="27" t="s">
        <v>29</v>
      </c>
      <c r="D80" s="27"/>
      <c r="E80" s="33">
        <f>3.07+4.3</f>
        <v>7.3699999999999992</v>
      </c>
      <c r="F80" s="33"/>
      <c r="G80" s="29">
        <f>AB80+AH80</f>
        <v>197174.5</v>
      </c>
      <c r="H80" s="53"/>
      <c r="I80" s="54"/>
      <c r="J80" s="54"/>
      <c r="K80" s="54"/>
      <c r="L80" s="58"/>
      <c r="M80" s="59"/>
      <c r="N80" s="54"/>
      <c r="O80" s="54"/>
      <c r="P80" s="28"/>
      <c r="Q80" s="54"/>
      <c r="R80" s="54"/>
      <c r="S80" s="54"/>
      <c r="T80" s="28"/>
      <c r="U80" s="29"/>
      <c r="V80" s="29"/>
      <c r="W80" s="29"/>
      <c r="X80" s="29"/>
      <c r="Y80" s="29"/>
      <c r="Z80" s="28">
        <v>3.07</v>
      </c>
      <c r="AA80" s="28"/>
      <c r="AB80" s="29">
        <v>77174.5</v>
      </c>
      <c r="AC80" s="29">
        <v>72544.028879999998</v>
      </c>
      <c r="AD80" s="29">
        <f>AB80-AC80</f>
        <v>4630.471120000002</v>
      </c>
      <c r="AE80" s="29"/>
      <c r="AF80" s="29">
        <v>4.3</v>
      </c>
      <c r="AG80" s="29"/>
      <c r="AH80" s="52">
        <f>AF80*30000-4000-5000</f>
        <v>120000</v>
      </c>
      <c r="AI80" s="29">
        <f t="shared" ref="AI80" si="9">AH80*0.879999983231406</f>
        <v>105599.99798776873</v>
      </c>
      <c r="AJ80" s="51">
        <f>AH80-AI80</f>
        <v>14400.002012231271</v>
      </c>
      <c r="AK80" s="12"/>
      <c r="AL80" s="12"/>
    </row>
    <row r="81" spans="1:38" s="41" customFormat="1" ht="33" hidden="1" customHeight="1">
      <c r="A81" s="26">
        <v>26</v>
      </c>
      <c r="B81" s="65" t="s">
        <v>92</v>
      </c>
      <c r="C81" s="27" t="s">
        <v>29</v>
      </c>
      <c r="D81" s="27"/>
      <c r="E81" s="33"/>
      <c r="F81" s="33"/>
      <c r="G81" s="29"/>
      <c r="H81" s="53"/>
      <c r="I81" s="54"/>
      <c r="J81" s="54"/>
      <c r="K81" s="54"/>
      <c r="L81" s="58"/>
      <c r="M81" s="59"/>
      <c r="N81" s="54"/>
      <c r="O81" s="54"/>
      <c r="P81" s="28"/>
      <c r="Q81" s="54"/>
      <c r="R81" s="54"/>
      <c r="S81" s="54"/>
      <c r="T81" s="28"/>
      <c r="U81" s="29"/>
      <c r="V81" s="29"/>
      <c r="W81" s="29"/>
      <c r="X81" s="29"/>
      <c r="Y81" s="29"/>
      <c r="Z81" s="28"/>
      <c r="AA81" s="28"/>
      <c r="AB81" s="29"/>
      <c r="AC81" s="67"/>
      <c r="AD81" s="29"/>
      <c r="AE81" s="29"/>
      <c r="AF81" s="28">
        <f>E81</f>
        <v>0</v>
      </c>
      <c r="AG81" s="29"/>
      <c r="AH81" s="52">
        <f>G81</f>
        <v>0</v>
      </c>
      <c r="AI81" s="29">
        <f>AH81*0.88</f>
        <v>0</v>
      </c>
      <c r="AJ81" s="51">
        <f>AH81-AI81</f>
        <v>0</v>
      </c>
      <c r="AK81" s="12"/>
      <c r="AL81" s="12"/>
    </row>
    <row r="82" spans="1:38" s="41" customFormat="1" ht="33.75" customHeight="1">
      <c r="A82" s="153" t="s">
        <v>93</v>
      </c>
      <c r="B82" s="153"/>
      <c r="C82" s="27"/>
      <c r="D82" s="27"/>
      <c r="E82" s="57">
        <f>SUM(E79:E81)</f>
        <v>9.6699999999999982</v>
      </c>
      <c r="F82" s="57"/>
      <c r="G82" s="138">
        <f>SUM(G79:G81)</f>
        <v>256032.28229999999</v>
      </c>
      <c r="H82" s="57" t="e">
        <f>SUM(#REF!)</f>
        <v>#REF!</v>
      </c>
      <c r="I82" s="42" t="e">
        <f>SUM(#REF!)</f>
        <v>#REF!</v>
      </c>
      <c r="J82" s="42" t="e">
        <f>SUM(#REF!)</f>
        <v>#REF!</v>
      </c>
      <c r="K82" s="42"/>
      <c r="L82" s="57" t="e">
        <f>SUM(#REF!)</f>
        <v>#REF!</v>
      </c>
      <c r="M82" s="42" t="e">
        <f>SUM(#REF!)</f>
        <v>#REF!</v>
      </c>
      <c r="N82" s="42" t="e">
        <f>SUM(#REF!)</f>
        <v>#REF!</v>
      </c>
      <c r="O82" s="42" t="e">
        <f>SUM(#REF!)</f>
        <v>#REF!</v>
      </c>
      <c r="P82" s="57" t="e">
        <f>SUM(#REF!)</f>
        <v>#REF!</v>
      </c>
      <c r="Q82" s="42" t="e">
        <f>SUM(#REF!)</f>
        <v>#REF!</v>
      </c>
      <c r="R82" s="42" t="e">
        <f>SUM(#REF!)</f>
        <v>#REF!</v>
      </c>
      <c r="S82" s="42"/>
      <c r="T82" s="57">
        <f>SUM(T79:T80)</f>
        <v>2.2999999999999998</v>
      </c>
      <c r="U82" s="57"/>
      <c r="V82" s="138">
        <f>SUM(V79:V80)</f>
        <v>58857.782299999999</v>
      </c>
      <c r="W82" s="138"/>
      <c r="X82" s="138">
        <f>SUM(X79:X80)</f>
        <v>58857.782299999999</v>
      </c>
      <c r="Y82" s="138"/>
      <c r="Z82" s="57">
        <f>SUM(Z79:Z80)</f>
        <v>3.07</v>
      </c>
      <c r="AA82" s="57"/>
      <c r="AB82" s="138">
        <f>SUM(AB79:AB80)</f>
        <v>77174.5</v>
      </c>
      <c r="AC82" s="138">
        <f>SUM(AC79:AC80)</f>
        <v>72544.028879999998</v>
      </c>
      <c r="AD82" s="138">
        <f>SUM(AD79:AD80)</f>
        <v>4630.471120000002</v>
      </c>
      <c r="AE82" s="138"/>
      <c r="AF82" s="138">
        <f>SUM(AF80:AF81)</f>
        <v>4.3</v>
      </c>
      <c r="AG82" s="138"/>
      <c r="AH82" s="44">
        <f>SUM(AH80:AH81)</f>
        <v>120000</v>
      </c>
      <c r="AI82" s="138">
        <f>SUM(AI80:AI81)</f>
        <v>105599.99798776873</v>
      </c>
      <c r="AJ82" s="25">
        <f>SUM(AJ80:AJ81)</f>
        <v>14400.002012231271</v>
      </c>
      <c r="AK82" s="48">
        <f>AH82+AB82+V82</f>
        <v>256032.28229999999</v>
      </c>
      <c r="AL82" s="12"/>
    </row>
    <row r="83" spans="1:38" s="41" customFormat="1" ht="33" customHeight="1">
      <c r="A83" s="146" t="s">
        <v>94</v>
      </c>
      <c r="B83" s="146"/>
      <c r="C83" s="152"/>
      <c r="D83" s="152"/>
      <c r="E83" s="152"/>
      <c r="F83" s="137"/>
      <c r="G83" s="138"/>
      <c r="H83" s="27"/>
      <c r="I83" s="27"/>
      <c r="J83" s="27"/>
      <c r="K83" s="27"/>
      <c r="L83" s="27"/>
      <c r="M83" s="27"/>
      <c r="N83" s="27"/>
      <c r="O83" s="27"/>
      <c r="P83" s="27"/>
      <c r="Q83" s="27"/>
      <c r="R83" s="27"/>
      <c r="S83" s="27"/>
      <c r="T83" s="27"/>
      <c r="U83" s="29"/>
      <c r="V83" s="29"/>
      <c r="W83" s="29"/>
      <c r="X83" s="29"/>
      <c r="Y83" s="29"/>
      <c r="Z83" s="29"/>
      <c r="AA83" s="27"/>
      <c r="AB83" s="29"/>
      <c r="AC83" s="29"/>
      <c r="AD83" s="29"/>
      <c r="AE83" s="29"/>
      <c r="AF83" s="29"/>
      <c r="AG83" s="29"/>
      <c r="AH83" s="52"/>
      <c r="AI83" s="29"/>
      <c r="AJ83" s="51"/>
      <c r="AK83" s="12"/>
      <c r="AL83" s="12"/>
    </row>
    <row r="84" spans="1:38" s="41" customFormat="1" ht="46.5" customHeight="1">
      <c r="A84" s="26">
        <v>28</v>
      </c>
      <c r="B84" s="65" t="s">
        <v>95</v>
      </c>
      <c r="C84" s="27" t="s">
        <v>29</v>
      </c>
      <c r="D84" s="27"/>
      <c r="E84" s="33">
        <v>4.0999999999999996</v>
      </c>
      <c r="F84" s="33"/>
      <c r="G84" s="29">
        <v>128306.87396</v>
      </c>
      <c r="H84" s="53"/>
      <c r="I84" s="54"/>
      <c r="J84" s="54"/>
      <c r="K84" s="54"/>
      <c r="L84" s="58"/>
      <c r="M84" s="59"/>
      <c r="N84" s="54"/>
      <c r="O84" s="54"/>
      <c r="P84" s="58"/>
      <c r="Q84" s="59"/>
      <c r="R84" s="54"/>
      <c r="S84" s="54"/>
      <c r="T84" s="28"/>
      <c r="U84" s="29"/>
      <c r="V84" s="29"/>
      <c r="W84" s="29"/>
      <c r="X84" s="29"/>
      <c r="Y84" s="29"/>
      <c r="Z84" s="28">
        <v>4.0999999999999996</v>
      </c>
      <c r="AA84" s="28"/>
      <c r="AB84" s="67">
        <f>G84</f>
        <v>128306.87396</v>
      </c>
      <c r="AC84" s="29">
        <v>120608.45967</v>
      </c>
      <c r="AD84" s="29">
        <f>AB84-AC84</f>
        <v>7698.4142900000006</v>
      </c>
      <c r="AE84" s="29"/>
      <c r="AF84" s="29"/>
      <c r="AG84" s="29"/>
      <c r="AH84" s="52"/>
      <c r="AI84" s="29"/>
      <c r="AJ84" s="51"/>
      <c r="AK84" s="12"/>
      <c r="AL84" s="12"/>
    </row>
    <row r="85" spans="1:38" s="41" customFormat="1" ht="44.25" hidden="1" customHeight="1">
      <c r="A85" s="26">
        <v>27</v>
      </c>
      <c r="B85" s="65" t="s">
        <v>96</v>
      </c>
      <c r="C85" s="27"/>
      <c r="D85" s="27"/>
      <c r="E85" s="33"/>
      <c r="F85" s="33"/>
      <c r="G85" s="29"/>
      <c r="H85" s="53"/>
      <c r="I85" s="54"/>
      <c r="J85" s="54"/>
      <c r="K85" s="54"/>
      <c r="L85" s="58"/>
      <c r="M85" s="59"/>
      <c r="N85" s="54"/>
      <c r="O85" s="54"/>
      <c r="P85" s="58"/>
      <c r="Q85" s="59"/>
      <c r="R85" s="54"/>
      <c r="S85" s="54"/>
      <c r="T85" s="28"/>
      <c r="U85" s="29"/>
      <c r="V85" s="29"/>
      <c r="W85" s="29"/>
      <c r="X85" s="29"/>
      <c r="Y85" s="29"/>
      <c r="Z85" s="28"/>
      <c r="AA85" s="28"/>
      <c r="AB85" s="67"/>
      <c r="AC85" s="67"/>
      <c r="AD85" s="29"/>
      <c r="AE85" s="29"/>
      <c r="AF85" s="28"/>
      <c r="AG85" s="29"/>
      <c r="AH85" s="52"/>
      <c r="AI85" s="29">
        <f>AH85*0.88</f>
        <v>0</v>
      </c>
      <c r="AJ85" s="51">
        <f>AH85-AI85</f>
        <v>0</v>
      </c>
      <c r="AK85" s="12"/>
      <c r="AL85" s="12"/>
    </row>
    <row r="86" spans="1:38" s="41" customFormat="1" ht="44.25" customHeight="1">
      <c r="A86" s="26">
        <v>29</v>
      </c>
      <c r="B86" s="65" t="s">
        <v>191</v>
      </c>
      <c r="C86" s="27" t="s">
        <v>29</v>
      </c>
      <c r="D86" s="27"/>
      <c r="E86" s="33">
        <v>2.1</v>
      </c>
      <c r="F86" s="33"/>
      <c r="G86" s="29">
        <v>41000</v>
      </c>
      <c r="H86" s="53"/>
      <c r="I86" s="54"/>
      <c r="J86" s="54"/>
      <c r="K86" s="54"/>
      <c r="L86" s="58"/>
      <c r="M86" s="59"/>
      <c r="N86" s="54"/>
      <c r="O86" s="54"/>
      <c r="P86" s="58"/>
      <c r="Q86" s="59"/>
      <c r="R86" s="54"/>
      <c r="S86" s="54"/>
      <c r="T86" s="28"/>
      <c r="U86" s="29"/>
      <c r="V86" s="29"/>
      <c r="W86" s="29"/>
      <c r="X86" s="29"/>
      <c r="Y86" s="29"/>
      <c r="Z86" s="28"/>
      <c r="AA86" s="28"/>
      <c r="AB86" s="67"/>
      <c r="AC86" s="67"/>
      <c r="AD86" s="29"/>
      <c r="AE86" s="29"/>
      <c r="AF86" s="28">
        <f>E86</f>
        <v>2.1</v>
      </c>
      <c r="AG86" s="29"/>
      <c r="AH86" s="52">
        <f>G86</f>
        <v>41000</v>
      </c>
      <c r="AI86" s="29">
        <f t="shared" ref="AI86" si="10">AH86*0.879999983231406</f>
        <v>36079.999312487649</v>
      </c>
      <c r="AJ86" s="51">
        <f>AH86-AI86</f>
        <v>4920.0006875123509</v>
      </c>
      <c r="AK86" s="12"/>
      <c r="AL86" s="12"/>
    </row>
    <row r="87" spans="1:38" s="41" customFormat="1" ht="29.25" customHeight="1">
      <c r="A87" s="66"/>
      <c r="B87" s="50" t="s">
        <v>51</v>
      </c>
      <c r="C87" s="27"/>
      <c r="D87" s="27"/>
      <c r="E87" s="67">
        <f>SUM(E84:E86)</f>
        <v>6.1999999999999993</v>
      </c>
      <c r="F87" s="29"/>
      <c r="G87" s="67">
        <f>SUM(G84:G86)</f>
        <v>169306.87396</v>
      </c>
      <c r="H87" s="53"/>
      <c r="I87" s="54"/>
      <c r="J87" s="54"/>
      <c r="K87" s="54"/>
      <c r="L87" s="58"/>
      <c r="M87" s="59"/>
      <c r="N87" s="54"/>
      <c r="O87" s="54"/>
      <c r="P87" s="58"/>
      <c r="Q87" s="59"/>
      <c r="R87" s="54"/>
      <c r="S87" s="54"/>
      <c r="T87" s="28"/>
      <c r="U87" s="29"/>
      <c r="V87" s="29"/>
      <c r="W87" s="29"/>
      <c r="X87" s="29"/>
      <c r="Y87" s="29"/>
      <c r="Z87" s="67">
        <f>SUM(Z84:Z84)</f>
        <v>4.0999999999999996</v>
      </c>
      <c r="AA87" s="33"/>
      <c r="AB87" s="67">
        <f>SUM(AB84:AB84)</f>
        <v>128306.87396</v>
      </c>
      <c r="AC87" s="67">
        <f>SUM(AC84:AC84)</f>
        <v>120608.45967</v>
      </c>
      <c r="AD87" s="67">
        <f>SUM(AD84:AD84)</f>
        <v>7698.4142900000006</v>
      </c>
      <c r="AE87" s="29"/>
      <c r="AF87" s="28">
        <f>SUM(AF85:AF86)</f>
        <v>2.1</v>
      </c>
      <c r="AG87" s="29"/>
      <c r="AH87" s="52">
        <f>SUM(AH85:AH86)</f>
        <v>41000</v>
      </c>
      <c r="AI87" s="29">
        <f>SUM(AI85:AI86)</f>
        <v>36079.999312487649</v>
      </c>
      <c r="AJ87" s="51">
        <f>SUM(AJ85:AJ86)</f>
        <v>4920.0006875123509</v>
      </c>
      <c r="AK87" s="12"/>
      <c r="AL87" s="12"/>
    </row>
    <row r="88" spans="1:38" s="41" customFormat="1" ht="24" customHeight="1">
      <c r="A88" s="60"/>
      <c r="B88" s="50" t="s">
        <v>52</v>
      </c>
      <c r="C88" s="27"/>
      <c r="D88" s="27"/>
      <c r="E88" s="67">
        <f>T88+Z88</f>
        <v>14.340999999999999</v>
      </c>
      <c r="F88" s="33"/>
      <c r="G88" s="29">
        <f>V88+AB88</f>
        <v>289687.90000000002</v>
      </c>
      <c r="H88" s="53"/>
      <c r="I88" s="54"/>
      <c r="J88" s="54"/>
      <c r="K88" s="54"/>
      <c r="L88" s="58"/>
      <c r="M88" s="59"/>
      <c r="N88" s="54"/>
      <c r="O88" s="54"/>
      <c r="P88" s="58"/>
      <c r="Q88" s="59"/>
      <c r="R88" s="54"/>
      <c r="S88" s="54"/>
      <c r="T88" s="29">
        <v>9.5839999999999996</v>
      </c>
      <c r="U88" s="29"/>
      <c r="V88" s="29">
        <v>196556</v>
      </c>
      <c r="W88" s="29"/>
      <c r="X88" s="29">
        <f>V88</f>
        <v>196556</v>
      </c>
      <c r="Y88" s="29"/>
      <c r="Z88" s="67">
        <v>4.7569999999999997</v>
      </c>
      <c r="AA88" s="33"/>
      <c r="AB88" s="67">
        <v>93131.9</v>
      </c>
      <c r="AC88" s="67"/>
      <c r="AD88" s="67">
        <f>AB88</f>
        <v>93131.9</v>
      </c>
      <c r="AE88" s="29"/>
      <c r="AF88" s="29"/>
      <c r="AG88" s="29"/>
      <c r="AH88" s="52"/>
      <c r="AI88" s="29"/>
      <c r="AJ88" s="51"/>
      <c r="AK88" s="12"/>
      <c r="AL88" s="12"/>
    </row>
    <row r="89" spans="1:38" s="41" customFormat="1" ht="33.75" customHeight="1">
      <c r="A89" s="153" t="s">
        <v>97</v>
      </c>
      <c r="B89" s="153"/>
      <c r="C89" s="27"/>
      <c r="D89" s="27"/>
      <c r="E89" s="138">
        <f>SUM(E87:E88)</f>
        <v>20.540999999999997</v>
      </c>
      <c r="F89" s="138"/>
      <c r="G89" s="138">
        <f>SUM(G87:G88)</f>
        <v>458994.77396000002</v>
      </c>
      <c r="H89" s="57"/>
      <c r="I89" s="42"/>
      <c r="J89" s="42"/>
      <c r="K89" s="42"/>
      <c r="L89" s="57"/>
      <c r="M89" s="42"/>
      <c r="N89" s="42"/>
      <c r="O89" s="42"/>
      <c r="P89" s="138"/>
      <c r="Q89" s="42"/>
      <c r="R89" s="42"/>
      <c r="S89" s="42"/>
      <c r="T89" s="138">
        <f>SUM(T87:T88)</f>
        <v>9.5839999999999996</v>
      </c>
      <c r="U89" s="138"/>
      <c r="V89" s="138">
        <f>SUM(V87:V88)</f>
        <v>196556</v>
      </c>
      <c r="W89" s="138"/>
      <c r="X89" s="138">
        <f>SUM(X87:X88)</f>
        <v>196556</v>
      </c>
      <c r="Y89" s="138"/>
      <c r="Z89" s="138">
        <f>SUM(Z87:Z88)</f>
        <v>8.8569999999999993</v>
      </c>
      <c r="AA89" s="138"/>
      <c r="AB89" s="138">
        <f>SUM(AB87:AB88)</f>
        <v>221438.77395999999</v>
      </c>
      <c r="AC89" s="138">
        <f>SUM(AC87:AC88)</f>
        <v>120608.45967</v>
      </c>
      <c r="AD89" s="138">
        <f>SUM(AD87:AD88)</f>
        <v>100830.31428999999</v>
      </c>
      <c r="AE89" s="138"/>
      <c r="AF89" s="138">
        <f>SUM(AF87:AF88)</f>
        <v>2.1</v>
      </c>
      <c r="AG89" s="138"/>
      <c r="AH89" s="138">
        <f>SUM(AH87:AH88)</f>
        <v>41000</v>
      </c>
      <c r="AI89" s="138">
        <f>SUM(AI87:AI88)</f>
        <v>36079.999312487649</v>
      </c>
      <c r="AJ89" s="25">
        <f>SUM(AJ87:AJ88)</f>
        <v>4920.0006875123509</v>
      </c>
      <c r="AK89" s="48">
        <f>AH89+AB89+V89</f>
        <v>458994.77396000002</v>
      </c>
      <c r="AL89" s="12"/>
    </row>
    <row r="90" spans="1:38" s="41" customFormat="1" ht="26.25" customHeight="1">
      <c r="A90" s="146" t="s">
        <v>98</v>
      </c>
      <c r="B90" s="146"/>
      <c r="C90" s="152"/>
      <c r="D90" s="152"/>
      <c r="E90" s="152"/>
      <c r="F90" s="137"/>
      <c r="G90" s="138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9"/>
      <c r="V90" s="29"/>
      <c r="W90" s="29"/>
      <c r="X90" s="29"/>
      <c r="Y90" s="29"/>
      <c r="Z90" s="29"/>
      <c r="AA90" s="27"/>
      <c r="AB90" s="29"/>
      <c r="AC90" s="29"/>
      <c r="AD90" s="29"/>
      <c r="AE90" s="29"/>
      <c r="AF90" s="29"/>
      <c r="AG90" s="29"/>
      <c r="AH90" s="52"/>
      <c r="AI90" s="29"/>
      <c r="AJ90" s="51"/>
      <c r="AK90" s="12"/>
      <c r="AL90" s="12"/>
    </row>
    <row r="91" spans="1:38" s="41" customFormat="1" ht="46.5" customHeight="1">
      <c r="A91" s="26">
        <v>30</v>
      </c>
      <c r="B91" s="68" t="s">
        <v>99</v>
      </c>
      <c r="C91" s="27" t="s">
        <v>29</v>
      </c>
      <c r="D91" s="137"/>
      <c r="E91" s="33">
        <v>3.9</v>
      </c>
      <c r="F91" s="137"/>
      <c r="G91" s="29">
        <v>76711.600330000001</v>
      </c>
      <c r="H91" s="27"/>
      <c r="I91" s="27"/>
      <c r="J91" s="27"/>
      <c r="K91" s="27"/>
      <c r="L91" s="27"/>
      <c r="M91" s="27"/>
      <c r="N91" s="27"/>
      <c r="O91" s="27"/>
      <c r="P91" s="27"/>
      <c r="Q91" s="27"/>
      <c r="R91" s="27"/>
      <c r="S91" s="27"/>
      <c r="T91" s="33">
        <f>E91</f>
        <v>3.9</v>
      </c>
      <c r="U91" s="29"/>
      <c r="V91" s="29">
        <f>G91</f>
        <v>76711.600330000001</v>
      </c>
      <c r="W91" s="29"/>
      <c r="X91" s="29">
        <f>V91</f>
        <v>76711.600330000001</v>
      </c>
      <c r="Y91" s="29"/>
      <c r="Z91" s="29"/>
      <c r="AA91" s="27"/>
      <c r="AB91" s="29"/>
      <c r="AC91" s="29"/>
      <c r="AD91" s="29"/>
      <c r="AE91" s="29"/>
      <c r="AF91" s="29"/>
      <c r="AG91" s="29"/>
      <c r="AH91" s="52"/>
      <c r="AI91" s="29"/>
      <c r="AJ91" s="51"/>
      <c r="AK91" s="12"/>
      <c r="AL91" s="12"/>
    </row>
    <row r="92" spans="1:38" s="41" customFormat="1" ht="27" customHeight="1">
      <c r="A92" s="26">
        <v>31</v>
      </c>
      <c r="B92" s="68" t="s">
        <v>100</v>
      </c>
      <c r="C92" s="27" t="s">
        <v>29</v>
      </c>
      <c r="D92" s="137"/>
      <c r="E92" s="33">
        <v>4.2</v>
      </c>
      <c r="F92" s="137"/>
      <c r="G92" s="29">
        <v>131455.49917</v>
      </c>
      <c r="H92" s="27"/>
      <c r="I92" s="27"/>
      <c r="J92" s="27"/>
      <c r="K92" s="27"/>
      <c r="L92" s="27"/>
      <c r="M92" s="27"/>
      <c r="N92" s="27"/>
      <c r="O92" s="27"/>
      <c r="P92" s="27"/>
      <c r="Q92" s="27"/>
      <c r="R92" s="27"/>
      <c r="S92" s="27"/>
      <c r="T92" s="33"/>
      <c r="U92" s="29"/>
      <c r="V92" s="29"/>
      <c r="W92" s="29"/>
      <c r="X92" s="29"/>
      <c r="Y92" s="29"/>
      <c r="Z92" s="28">
        <v>4.2</v>
      </c>
      <c r="AA92" s="27"/>
      <c r="AB92" s="29">
        <f>G92</f>
        <v>131455.49917</v>
      </c>
      <c r="AC92" s="29">
        <v>123568.16731999999</v>
      </c>
      <c r="AD92" s="29">
        <f>AB92-AC92</f>
        <v>7887.3318500000023</v>
      </c>
      <c r="AE92" s="29"/>
      <c r="AF92" s="29"/>
      <c r="AG92" s="29"/>
      <c r="AH92" s="52"/>
      <c r="AI92" s="29"/>
      <c r="AJ92" s="51"/>
      <c r="AK92" s="12"/>
      <c r="AL92" s="12"/>
    </row>
    <row r="93" spans="1:38" s="41" customFormat="1" ht="44.25" customHeight="1">
      <c r="A93" s="26">
        <v>32</v>
      </c>
      <c r="B93" s="68" t="s">
        <v>192</v>
      </c>
      <c r="C93" s="27" t="s">
        <v>29</v>
      </c>
      <c r="D93" s="137"/>
      <c r="E93" s="33">
        <v>1.2</v>
      </c>
      <c r="F93" s="137"/>
      <c r="G93" s="29">
        <f>E93*30000+8000-2000+1000</f>
        <v>43000</v>
      </c>
      <c r="H93" s="27"/>
      <c r="I93" s="27"/>
      <c r="J93" s="27"/>
      <c r="K93" s="27"/>
      <c r="L93" s="27"/>
      <c r="M93" s="27"/>
      <c r="N93" s="27"/>
      <c r="O93" s="27"/>
      <c r="P93" s="27"/>
      <c r="Q93" s="27"/>
      <c r="R93" s="27"/>
      <c r="S93" s="27"/>
      <c r="T93" s="33"/>
      <c r="U93" s="29"/>
      <c r="V93" s="29"/>
      <c r="W93" s="29"/>
      <c r="X93" s="29"/>
      <c r="Y93" s="29"/>
      <c r="Z93" s="28"/>
      <c r="AA93" s="27"/>
      <c r="AB93" s="29"/>
      <c r="AC93" s="29"/>
      <c r="AD93" s="29"/>
      <c r="AE93" s="29"/>
      <c r="AF93" s="28">
        <f>E93</f>
        <v>1.2</v>
      </c>
      <c r="AG93" s="29"/>
      <c r="AH93" s="52">
        <f>G93</f>
        <v>43000</v>
      </c>
      <c r="AI93" s="29">
        <f t="shared" ref="AI93:AI94" si="11">AH93*0.879999983231406</f>
        <v>37839.999278950461</v>
      </c>
      <c r="AJ93" s="51">
        <f>AH93-AI93</f>
        <v>5160.0007210495387</v>
      </c>
      <c r="AK93" s="12"/>
      <c r="AL93" s="12"/>
    </row>
    <row r="94" spans="1:38" s="41" customFormat="1" ht="42.75" customHeight="1">
      <c r="A94" s="26">
        <v>33</v>
      </c>
      <c r="B94" s="68" t="s">
        <v>101</v>
      </c>
      <c r="C94" s="27" t="s">
        <v>32</v>
      </c>
      <c r="D94" s="137"/>
      <c r="E94" s="33">
        <v>2.1</v>
      </c>
      <c r="F94" s="137"/>
      <c r="G94" s="29">
        <f>E94*30000+4000-3000</f>
        <v>64000</v>
      </c>
      <c r="H94" s="27"/>
      <c r="I94" s="27"/>
      <c r="J94" s="27"/>
      <c r="K94" s="27"/>
      <c r="L94" s="27"/>
      <c r="M94" s="27"/>
      <c r="N94" s="27"/>
      <c r="O94" s="27"/>
      <c r="P94" s="27"/>
      <c r="Q94" s="27"/>
      <c r="R94" s="27"/>
      <c r="S94" s="27"/>
      <c r="T94" s="33"/>
      <c r="U94" s="29"/>
      <c r="V94" s="29"/>
      <c r="W94" s="29"/>
      <c r="X94" s="29"/>
      <c r="Y94" s="29"/>
      <c r="Z94" s="28"/>
      <c r="AA94" s="27"/>
      <c r="AB94" s="29"/>
      <c r="AC94" s="29"/>
      <c r="AD94" s="29"/>
      <c r="AE94" s="29"/>
      <c r="AF94" s="28">
        <f>E94</f>
        <v>2.1</v>
      </c>
      <c r="AG94" s="29"/>
      <c r="AH94" s="52">
        <f>G94</f>
        <v>64000</v>
      </c>
      <c r="AI94" s="29">
        <f t="shared" si="11"/>
        <v>56319.998926809989</v>
      </c>
      <c r="AJ94" s="51">
        <f>AH94-AI94</f>
        <v>7680.0010731900111</v>
      </c>
      <c r="AK94" s="12"/>
      <c r="AL94" s="12"/>
    </row>
    <row r="95" spans="1:38" s="41" customFormat="1" ht="27.75" customHeight="1">
      <c r="A95" s="153" t="s">
        <v>102</v>
      </c>
      <c r="B95" s="153"/>
      <c r="C95" s="27"/>
      <c r="D95" s="27"/>
      <c r="E95" s="57">
        <f>SUM(E91:E94)</f>
        <v>11.399999999999999</v>
      </c>
      <c r="F95" s="29"/>
      <c r="G95" s="138">
        <f>SUM(G91:G94)</f>
        <v>315167.09950000001</v>
      </c>
      <c r="H95" s="57"/>
      <c r="I95" s="42"/>
      <c r="J95" s="42"/>
      <c r="K95" s="42"/>
      <c r="L95" s="57"/>
      <c r="M95" s="42"/>
      <c r="N95" s="42"/>
      <c r="O95" s="42"/>
      <c r="P95" s="57"/>
      <c r="Q95" s="42"/>
      <c r="R95" s="42"/>
      <c r="S95" s="42"/>
      <c r="T95" s="57">
        <f>SUM(T91)</f>
        <v>3.9</v>
      </c>
      <c r="U95" s="57"/>
      <c r="V95" s="138">
        <f>SUM(V91)</f>
        <v>76711.600330000001</v>
      </c>
      <c r="W95" s="138"/>
      <c r="X95" s="138">
        <f>SUM(X91)</f>
        <v>76711.600330000001</v>
      </c>
      <c r="Y95" s="138"/>
      <c r="Z95" s="57">
        <f>SUM(Z91:Z92)</f>
        <v>4.2</v>
      </c>
      <c r="AA95" s="57"/>
      <c r="AB95" s="138">
        <f>SUM(AB91:AB92)</f>
        <v>131455.49917</v>
      </c>
      <c r="AC95" s="138">
        <f>SUM(AC91:AC92)</f>
        <v>123568.16731999999</v>
      </c>
      <c r="AD95" s="138">
        <f>SUM(AD91:AD92)</f>
        <v>7887.3318500000023</v>
      </c>
      <c r="AE95" s="138"/>
      <c r="AF95" s="138">
        <f>SUM(AF93:AF94)</f>
        <v>3.3</v>
      </c>
      <c r="AG95" s="138"/>
      <c r="AH95" s="44">
        <f>SUM(AH93:AH94)</f>
        <v>107000</v>
      </c>
      <c r="AI95" s="138">
        <f>SUM(AI93:AI94)</f>
        <v>94159.99820576045</v>
      </c>
      <c r="AJ95" s="25">
        <f>SUM(AJ93:AJ94)</f>
        <v>12840.00179423955</v>
      </c>
      <c r="AK95" s="48">
        <f>AH95+AB95+V95</f>
        <v>315167.09950000001</v>
      </c>
      <c r="AL95" s="12"/>
    </row>
    <row r="96" spans="1:38" s="41" customFormat="1" ht="24.75" customHeight="1">
      <c r="A96" s="146" t="s">
        <v>30</v>
      </c>
      <c r="B96" s="146"/>
      <c r="C96" s="152"/>
      <c r="D96" s="152"/>
      <c r="E96" s="152"/>
      <c r="F96" s="137"/>
      <c r="G96" s="138"/>
      <c r="H96" s="27"/>
      <c r="I96" s="27"/>
      <c r="J96" s="27"/>
      <c r="K96" s="27"/>
      <c r="L96" s="27"/>
      <c r="M96" s="27"/>
      <c r="N96" s="27"/>
      <c r="O96" s="27"/>
      <c r="P96" s="27"/>
      <c r="Q96" s="27"/>
      <c r="R96" s="27"/>
      <c r="S96" s="27"/>
      <c r="T96" s="27"/>
      <c r="U96" s="29"/>
      <c r="V96" s="29"/>
      <c r="W96" s="29"/>
      <c r="X96" s="29"/>
      <c r="Y96" s="29"/>
      <c r="Z96" s="29"/>
      <c r="AA96" s="27"/>
      <c r="AB96" s="29"/>
      <c r="AC96" s="29"/>
      <c r="AD96" s="29"/>
      <c r="AE96" s="29"/>
      <c r="AF96" s="29"/>
      <c r="AG96" s="29"/>
      <c r="AH96" s="52"/>
      <c r="AI96" s="29"/>
      <c r="AJ96" s="51"/>
      <c r="AK96" s="12"/>
      <c r="AL96" s="12"/>
    </row>
    <row r="97" spans="1:39" s="41" customFormat="1" ht="44.25" customHeight="1">
      <c r="A97" s="26">
        <v>34</v>
      </c>
      <c r="B97" s="68" t="s">
        <v>103</v>
      </c>
      <c r="C97" s="27" t="s">
        <v>29</v>
      </c>
      <c r="D97" s="27"/>
      <c r="E97" s="33">
        <v>4.4000000000000004</v>
      </c>
      <c r="F97" s="53"/>
      <c r="G97" s="29">
        <v>118184.28718</v>
      </c>
      <c r="H97" s="53"/>
      <c r="I97" s="54"/>
      <c r="J97" s="54"/>
      <c r="K97" s="54"/>
      <c r="L97" s="58"/>
      <c r="M97" s="59"/>
      <c r="N97" s="54"/>
      <c r="O97" s="54"/>
      <c r="P97" s="28"/>
      <c r="Q97" s="29"/>
      <c r="R97" s="54"/>
      <c r="S97" s="54"/>
      <c r="T97" s="28"/>
      <c r="U97" s="29"/>
      <c r="V97" s="29"/>
      <c r="W97" s="29"/>
      <c r="X97" s="29"/>
      <c r="Y97" s="29"/>
      <c r="Z97" s="53">
        <v>4.4000000000000004</v>
      </c>
      <c r="AA97" s="29"/>
      <c r="AB97" s="29">
        <f>G97</f>
        <v>118184.28718</v>
      </c>
      <c r="AC97" s="29">
        <v>111093.22824</v>
      </c>
      <c r="AD97" s="29">
        <f>AB97-AC97</f>
        <v>7091.0589400000026</v>
      </c>
      <c r="AE97" s="29"/>
      <c r="AF97" s="29"/>
      <c r="AG97" s="29"/>
      <c r="AH97" s="52"/>
      <c r="AI97" s="29"/>
      <c r="AJ97" s="51"/>
      <c r="AK97" s="12"/>
      <c r="AL97" s="12"/>
    </row>
    <row r="98" spans="1:39" s="41" customFormat="1" ht="63" customHeight="1">
      <c r="A98" s="26">
        <v>35</v>
      </c>
      <c r="B98" s="68" t="s">
        <v>104</v>
      </c>
      <c r="C98" s="27" t="s">
        <v>29</v>
      </c>
      <c r="D98" s="27"/>
      <c r="E98" s="33">
        <v>5.4</v>
      </c>
      <c r="F98" s="53"/>
      <c r="G98" s="29">
        <v>113109.11095</v>
      </c>
      <c r="H98" s="53"/>
      <c r="I98" s="54"/>
      <c r="J98" s="54"/>
      <c r="K98" s="54"/>
      <c r="L98" s="58"/>
      <c r="M98" s="59"/>
      <c r="N98" s="54"/>
      <c r="O98" s="54"/>
      <c r="P98" s="28"/>
      <c r="Q98" s="29"/>
      <c r="R98" s="54"/>
      <c r="S98" s="54"/>
      <c r="T98" s="28"/>
      <c r="U98" s="29"/>
      <c r="V98" s="29"/>
      <c r="W98" s="29"/>
      <c r="X98" s="29"/>
      <c r="Y98" s="29"/>
      <c r="Z98" s="53"/>
      <c r="AA98" s="29"/>
      <c r="AB98" s="29"/>
      <c r="AC98" s="29"/>
      <c r="AD98" s="29"/>
      <c r="AE98" s="29"/>
      <c r="AF98" s="28">
        <f>E98</f>
        <v>5.4</v>
      </c>
      <c r="AG98" s="29"/>
      <c r="AH98" s="52">
        <f>G98</f>
        <v>113109.11095</v>
      </c>
      <c r="AI98" s="29">
        <f t="shared" ref="AI98" si="12">AH98*0.879999983231406</f>
        <v>99536.015739319249</v>
      </c>
      <c r="AJ98" s="51">
        <f>AH98-AI98</f>
        <v>13573.095210680753</v>
      </c>
      <c r="AK98" s="12"/>
      <c r="AL98" s="12"/>
    </row>
    <row r="99" spans="1:39" s="41" customFormat="1" ht="27" customHeight="1">
      <c r="A99" s="153" t="s">
        <v>105</v>
      </c>
      <c r="B99" s="153"/>
      <c r="C99" s="27"/>
      <c r="D99" s="27"/>
      <c r="E99" s="57">
        <f>SUM(E97:E98)</f>
        <v>9.8000000000000007</v>
      </c>
      <c r="F99" s="57"/>
      <c r="G99" s="138">
        <f>SUM(G97:G98)</f>
        <v>231293.39812999999</v>
      </c>
      <c r="H99" s="57" t="e">
        <f>SUM(#REF!)</f>
        <v>#REF!</v>
      </c>
      <c r="I99" s="42" t="e">
        <f>SUM(#REF!)</f>
        <v>#REF!</v>
      </c>
      <c r="J99" s="42" t="e">
        <f>SUM(#REF!)</f>
        <v>#REF!</v>
      </c>
      <c r="K99" s="42"/>
      <c r="L99" s="57" t="e">
        <f>SUM(#REF!)</f>
        <v>#REF!</v>
      </c>
      <c r="M99" s="42" t="e">
        <f>SUM(#REF!)</f>
        <v>#REF!</v>
      </c>
      <c r="N99" s="42" t="e">
        <f>SUM(#REF!)</f>
        <v>#REF!</v>
      </c>
      <c r="O99" s="42" t="e">
        <f>SUM(#REF!)</f>
        <v>#REF!</v>
      </c>
      <c r="P99" s="57" t="e">
        <f>SUM(#REF!)</f>
        <v>#REF!</v>
      </c>
      <c r="Q99" s="42" t="e">
        <f>SUM(#REF!)</f>
        <v>#REF!</v>
      </c>
      <c r="R99" s="42" t="e">
        <f>SUM(#REF!)</f>
        <v>#REF!</v>
      </c>
      <c r="S99" s="42"/>
      <c r="T99" s="57"/>
      <c r="U99" s="138"/>
      <c r="V99" s="138"/>
      <c r="W99" s="138"/>
      <c r="X99" s="138"/>
      <c r="Y99" s="138"/>
      <c r="Z99" s="57">
        <f>SUM(Z97:Z97)</f>
        <v>4.4000000000000004</v>
      </c>
      <c r="AA99" s="57"/>
      <c r="AB99" s="138">
        <f>SUM(AB97:AB97)</f>
        <v>118184.28718</v>
      </c>
      <c r="AC99" s="138">
        <f>SUM(AC97:AC97)</f>
        <v>111093.22824</v>
      </c>
      <c r="AD99" s="138">
        <f>SUM(AD97:AD97)</f>
        <v>7091.0589400000026</v>
      </c>
      <c r="AE99" s="138"/>
      <c r="AF99" s="138">
        <f>SUM(AF98)</f>
        <v>5.4</v>
      </c>
      <c r="AG99" s="138"/>
      <c r="AH99" s="138">
        <f>SUM(AH98)</f>
        <v>113109.11095</v>
      </c>
      <c r="AI99" s="138">
        <f>SUM(AI98)</f>
        <v>99536.015739319249</v>
      </c>
      <c r="AJ99" s="25">
        <f>SUM(AJ98)</f>
        <v>13573.095210680753</v>
      </c>
      <c r="AK99" s="48">
        <f>AH99+AB99+V99</f>
        <v>231293.39812999999</v>
      </c>
      <c r="AL99" s="12"/>
    </row>
    <row r="100" spans="1:39" s="41" customFormat="1" ht="32.25" customHeight="1">
      <c r="A100" s="146" t="s">
        <v>106</v>
      </c>
      <c r="B100" s="146"/>
      <c r="C100" s="27"/>
      <c r="D100" s="27"/>
      <c r="E100" s="70"/>
      <c r="F100" s="138"/>
      <c r="G100" s="138"/>
      <c r="H100" s="57"/>
      <c r="I100" s="42"/>
      <c r="J100" s="42"/>
      <c r="K100" s="42"/>
      <c r="L100" s="57"/>
      <c r="M100" s="42"/>
      <c r="N100" s="42"/>
      <c r="O100" s="42"/>
      <c r="P100" s="138"/>
      <c r="Q100" s="42"/>
      <c r="R100" s="42"/>
      <c r="S100" s="42"/>
      <c r="T100" s="138"/>
      <c r="U100" s="138"/>
      <c r="V100" s="138"/>
      <c r="W100" s="138"/>
      <c r="X100" s="138"/>
      <c r="Y100" s="138"/>
      <c r="Z100" s="70"/>
      <c r="AA100" s="138"/>
      <c r="AB100" s="138"/>
      <c r="AC100" s="138"/>
      <c r="AD100" s="138"/>
      <c r="AE100" s="138"/>
      <c r="AF100" s="138"/>
      <c r="AG100" s="138"/>
      <c r="AH100" s="44"/>
      <c r="AI100" s="138"/>
      <c r="AJ100" s="25"/>
      <c r="AK100" s="12"/>
      <c r="AL100" s="12"/>
    </row>
    <row r="101" spans="1:39" s="41" customFormat="1" ht="66" customHeight="1">
      <c r="A101" s="26">
        <v>36</v>
      </c>
      <c r="B101" s="68" t="s">
        <v>189</v>
      </c>
      <c r="C101" s="27" t="s">
        <v>29</v>
      </c>
      <c r="D101" s="27"/>
      <c r="E101" s="33">
        <v>13.75</v>
      </c>
      <c r="F101" s="138"/>
      <c r="G101" s="29">
        <f>V101+AB101</f>
        <v>323992.47898999997</v>
      </c>
      <c r="H101" s="57"/>
      <c r="I101" s="42"/>
      <c r="J101" s="42"/>
      <c r="K101" s="42"/>
      <c r="L101" s="57"/>
      <c r="M101" s="42"/>
      <c r="N101" s="42"/>
      <c r="O101" s="42"/>
      <c r="P101" s="138"/>
      <c r="Q101" s="42"/>
      <c r="R101" s="42"/>
      <c r="S101" s="42"/>
      <c r="T101" s="138"/>
      <c r="U101" s="138"/>
      <c r="V101" s="29">
        <v>150000</v>
      </c>
      <c r="W101" s="138"/>
      <c r="X101" s="29">
        <f>V101</f>
        <v>150000</v>
      </c>
      <c r="Y101" s="138"/>
      <c r="Z101" s="33">
        <f>E101</f>
        <v>13.75</v>
      </c>
      <c r="AA101" s="138"/>
      <c r="AB101" s="29">
        <v>173992.47899</v>
      </c>
      <c r="AC101" s="29">
        <v>163552.92773</v>
      </c>
      <c r="AD101" s="29">
        <f>AB101-AC101</f>
        <v>10439.551260000007</v>
      </c>
      <c r="AE101" s="138"/>
      <c r="AF101" s="138"/>
      <c r="AG101" s="138"/>
      <c r="AH101" s="44"/>
      <c r="AI101" s="138"/>
      <c r="AJ101" s="25"/>
      <c r="AK101" s="12"/>
      <c r="AL101" s="12"/>
    </row>
    <row r="102" spans="1:39" s="41" customFormat="1" ht="43.5" customHeight="1">
      <c r="A102" s="26">
        <v>37</v>
      </c>
      <c r="B102" s="68" t="s">
        <v>193</v>
      </c>
      <c r="C102" s="27" t="s">
        <v>29</v>
      </c>
      <c r="D102" s="27"/>
      <c r="E102" s="33">
        <v>2.226</v>
      </c>
      <c r="F102" s="138"/>
      <c r="G102" s="29">
        <v>60464.042419999998</v>
      </c>
      <c r="H102" s="57"/>
      <c r="I102" s="42"/>
      <c r="J102" s="42"/>
      <c r="K102" s="42"/>
      <c r="L102" s="57"/>
      <c r="M102" s="42"/>
      <c r="N102" s="42"/>
      <c r="O102" s="42"/>
      <c r="P102" s="138"/>
      <c r="Q102" s="42"/>
      <c r="R102" s="42"/>
      <c r="S102" s="42"/>
      <c r="T102" s="138"/>
      <c r="U102" s="138"/>
      <c r="V102" s="29"/>
      <c r="W102" s="138"/>
      <c r="X102" s="29"/>
      <c r="Y102" s="138"/>
      <c r="Z102" s="33">
        <f>E102</f>
        <v>2.226</v>
      </c>
      <c r="AA102" s="138"/>
      <c r="AB102" s="29">
        <v>60464.042419999998</v>
      </c>
      <c r="AC102" s="29">
        <v>56836.199000000001</v>
      </c>
      <c r="AD102" s="29">
        <f>AB102-AC102</f>
        <v>3627.8434199999974</v>
      </c>
      <c r="AE102" s="138"/>
      <c r="AF102" s="138"/>
      <c r="AG102" s="138"/>
      <c r="AH102" s="44"/>
      <c r="AI102" s="138"/>
      <c r="AJ102" s="25"/>
      <c r="AK102" s="12"/>
      <c r="AL102" s="12"/>
    </row>
    <row r="103" spans="1:39" s="41" customFormat="1" ht="45.75" customHeight="1">
      <c r="A103" s="26">
        <v>38</v>
      </c>
      <c r="B103" s="65" t="s">
        <v>107</v>
      </c>
      <c r="C103" s="27" t="s">
        <v>29</v>
      </c>
      <c r="D103" s="27"/>
      <c r="E103" s="33">
        <v>9.6470000000000002</v>
      </c>
      <c r="F103" s="33"/>
      <c r="G103" s="29">
        <v>261742.54837999999</v>
      </c>
      <c r="H103" s="57"/>
      <c r="I103" s="42"/>
      <c r="J103" s="42"/>
      <c r="K103" s="42"/>
      <c r="L103" s="57"/>
      <c r="M103" s="42"/>
      <c r="N103" s="42"/>
      <c r="O103" s="42"/>
      <c r="P103" s="138"/>
      <c r="Q103" s="42"/>
      <c r="R103" s="42"/>
      <c r="S103" s="42"/>
      <c r="T103" s="138"/>
      <c r="U103" s="138"/>
      <c r="V103" s="29"/>
      <c r="W103" s="138" t="s">
        <v>62</v>
      </c>
      <c r="X103" s="29"/>
      <c r="Y103" s="138"/>
      <c r="Z103" s="33"/>
      <c r="AA103" s="138"/>
      <c r="AB103" s="29">
        <v>109799.2124</v>
      </c>
      <c r="AC103" s="29">
        <v>103211.25807</v>
      </c>
      <c r="AD103" s="29">
        <f>AB103-AC103</f>
        <v>6587.9543300000078</v>
      </c>
      <c r="AE103" s="138"/>
      <c r="AF103" s="28">
        <f>E103</f>
        <v>9.6470000000000002</v>
      </c>
      <c r="AG103" s="29"/>
      <c r="AH103" s="52">
        <f>G103-AB103</f>
        <v>151943.33597999997</v>
      </c>
      <c r="AI103" s="29">
        <f t="shared" ref="AI103:AI104" si="13">AH103*0.879999983231406</f>
        <v>133710.13311452387</v>
      </c>
      <c r="AJ103" s="51">
        <f>AH103-AI103</f>
        <v>18233.202865476109</v>
      </c>
      <c r="AK103" s="145"/>
      <c r="AL103" s="29"/>
      <c r="AM103" s="52"/>
    </row>
    <row r="104" spans="1:39" s="41" customFormat="1" ht="42" customHeight="1">
      <c r="A104" s="26">
        <v>39</v>
      </c>
      <c r="B104" s="68" t="s">
        <v>183</v>
      </c>
      <c r="C104" s="27" t="s">
        <v>29</v>
      </c>
      <c r="D104" s="27"/>
      <c r="E104" s="33">
        <f>2.8-0.018</f>
        <v>2.782</v>
      </c>
      <c r="F104" s="138"/>
      <c r="G104" s="29">
        <f>2.8*30000+5000-4000</f>
        <v>85000</v>
      </c>
      <c r="H104" s="57"/>
      <c r="I104" s="42"/>
      <c r="J104" s="42"/>
      <c r="K104" s="42"/>
      <c r="L104" s="57"/>
      <c r="M104" s="42"/>
      <c r="N104" s="42"/>
      <c r="O104" s="42"/>
      <c r="P104" s="138"/>
      <c r="Q104" s="42"/>
      <c r="R104" s="42"/>
      <c r="S104" s="42"/>
      <c r="T104" s="138"/>
      <c r="U104" s="138"/>
      <c r="V104" s="29"/>
      <c r="W104" s="138"/>
      <c r="X104" s="29"/>
      <c r="Y104" s="138"/>
      <c r="Z104" s="33"/>
      <c r="AA104" s="138"/>
      <c r="AB104" s="29"/>
      <c r="AC104" s="29"/>
      <c r="AD104" s="29"/>
      <c r="AE104" s="138"/>
      <c r="AF104" s="28">
        <f>E104</f>
        <v>2.782</v>
      </c>
      <c r="AG104" s="29"/>
      <c r="AH104" s="52">
        <f>G104</f>
        <v>85000</v>
      </c>
      <c r="AI104" s="29">
        <f t="shared" si="13"/>
        <v>74799.998574669517</v>
      </c>
      <c r="AJ104" s="51">
        <f>AH104-AI104</f>
        <v>10200.001425330483</v>
      </c>
      <c r="AK104" s="12"/>
      <c r="AL104" s="12"/>
    </row>
    <row r="105" spans="1:39" s="41" customFormat="1" ht="48.75" customHeight="1">
      <c r="A105" s="153" t="s">
        <v>108</v>
      </c>
      <c r="B105" s="153"/>
      <c r="C105" s="153"/>
      <c r="D105" s="27"/>
      <c r="E105" s="70">
        <f>SUM(E101:E104)</f>
        <v>28.404999999999998</v>
      </c>
      <c r="F105" s="29"/>
      <c r="G105" s="138">
        <f>SUM(G101:G104)</f>
        <v>731199.06978999998</v>
      </c>
      <c r="H105" s="57"/>
      <c r="I105" s="42"/>
      <c r="J105" s="42"/>
      <c r="K105" s="42"/>
      <c r="L105" s="57"/>
      <c r="M105" s="42"/>
      <c r="N105" s="42"/>
      <c r="O105" s="42"/>
      <c r="P105" s="138"/>
      <c r="Q105" s="42"/>
      <c r="R105" s="42"/>
      <c r="S105" s="42"/>
      <c r="T105" s="138"/>
      <c r="U105" s="138"/>
      <c r="V105" s="138">
        <f>SUM(V101)</f>
        <v>150000</v>
      </c>
      <c r="W105" s="138"/>
      <c r="X105" s="138">
        <f>SUM(X101)</f>
        <v>150000</v>
      </c>
      <c r="Y105" s="138"/>
      <c r="Z105" s="71">
        <f>SUM(Z101:Z104)</f>
        <v>15.975999999999999</v>
      </c>
      <c r="AA105" s="138"/>
      <c r="AB105" s="138">
        <f>SUM(AB101:AB104)</f>
        <v>344255.73381000001</v>
      </c>
      <c r="AC105" s="138">
        <f>SUM(AC101:AC104)</f>
        <v>323600.3848</v>
      </c>
      <c r="AD105" s="138">
        <f>SUM(AD101:AD104)</f>
        <v>20655.349010000013</v>
      </c>
      <c r="AE105" s="138"/>
      <c r="AF105" s="43">
        <f>SUM(AF103:AF104)</f>
        <v>12.429</v>
      </c>
      <c r="AG105" s="138"/>
      <c r="AH105" s="44">
        <f>SUM(AH103:AH104)</f>
        <v>236943.33597999997</v>
      </c>
      <c r="AI105" s="138">
        <f>SUM(AI103:AI104)</f>
        <v>208510.13168919337</v>
      </c>
      <c r="AJ105" s="25">
        <f>SUM(AJ103:AJ104)</f>
        <v>28433.204290806592</v>
      </c>
      <c r="AK105" s="48">
        <f>AH105+AB105+V105</f>
        <v>731199.06978999998</v>
      </c>
      <c r="AL105" s="12"/>
    </row>
    <row r="106" spans="1:39" s="41" customFormat="1" ht="27" customHeight="1">
      <c r="A106" s="146" t="s">
        <v>109</v>
      </c>
      <c r="B106" s="146"/>
      <c r="C106" s="72"/>
      <c r="D106" s="73"/>
      <c r="E106" s="57"/>
      <c r="F106" s="57"/>
      <c r="G106" s="138"/>
      <c r="H106" s="57"/>
      <c r="I106" s="42"/>
      <c r="J106" s="42"/>
      <c r="K106" s="42"/>
      <c r="L106" s="57"/>
      <c r="M106" s="42"/>
      <c r="N106" s="42"/>
      <c r="O106" s="42"/>
      <c r="P106" s="57"/>
      <c r="Q106" s="42"/>
      <c r="R106" s="42"/>
      <c r="S106" s="42"/>
      <c r="T106" s="57"/>
      <c r="U106" s="138"/>
      <c r="V106" s="138"/>
      <c r="W106" s="138"/>
      <c r="X106" s="138"/>
      <c r="Y106" s="138"/>
      <c r="Z106" s="138"/>
      <c r="AA106" s="57"/>
      <c r="AB106" s="138"/>
      <c r="AC106" s="138"/>
      <c r="AD106" s="138"/>
      <c r="AE106" s="138"/>
      <c r="AF106" s="138"/>
      <c r="AG106" s="138"/>
      <c r="AH106" s="44"/>
      <c r="AI106" s="138"/>
      <c r="AJ106" s="25"/>
      <c r="AK106" s="12"/>
      <c r="AL106" s="12"/>
    </row>
    <row r="107" spans="1:39" s="41" customFormat="1" ht="62.25" customHeight="1">
      <c r="A107" s="26">
        <v>40</v>
      </c>
      <c r="B107" s="68" t="s">
        <v>110</v>
      </c>
      <c r="C107" s="27" t="s">
        <v>29</v>
      </c>
      <c r="D107" s="73"/>
      <c r="E107" s="53">
        <f>3.5+8.3</f>
        <v>11.8</v>
      </c>
      <c r="F107" s="57"/>
      <c r="G107" s="29">
        <f>AB107+AH107</f>
        <v>310326.55614</v>
      </c>
      <c r="H107" s="57"/>
      <c r="I107" s="42"/>
      <c r="J107" s="42"/>
      <c r="K107" s="42"/>
      <c r="L107" s="57"/>
      <c r="M107" s="42"/>
      <c r="N107" s="42"/>
      <c r="O107" s="42"/>
      <c r="P107" s="57"/>
      <c r="Q107" s="42"/>
      <c r="R107" s="42"/>
      <c r="S107" s="42"/>
      <c r="T107" s="57"/>
      <c r="U107" s="138"/>
      <c r="V107" s="138"/>
      <c r="W107" s="138"/>
      <c r="X107" s="138"/>
      <c r="Y107" s="138"/>
      <c r="Z107" s="53">
        <v>3.5</v>
      </c>
      <c r="AA107" s="57"/>
      <c r="AB107" s="29">
        <v>90326.556140000001</v>
      </c>
      <c r="AC107" s="29">
        <v>84906.961460000006</v>
      </c>
      <c r="AD107" s="29">
        <f>AB107-AC107</f>
        <v>5419.5946799999947</v>
      </c>
      <c r="AE107" s="138"/>
      <c r="AF107" s="53">
        <v>8.3000000000000007</v>
      </c>
      <c r="AG107" s="138"/>
      <c r="AH107" s="29">
        <f>AF107*30000-9000-10000-10000</f>
        <v>220000.00000000003</v>
      </c>
      <c r="AI107" s="29">
        <f t="shared" ref="AI107" si="14">AH107*0.879999983231406</f>
        <v>193599.99631090937</v>
      </c>
      <c r="AJ107" s="51">
        <f>AH107-AI107</f>
        <v>26400.003689090663</v>
      </c>
      <c r="AK107" s="12"/>
      <c r="AL107" s="12"/>
    </row>
    <row r="108" spans="1:39" s="41" customFormat="1" ht="46.5" hidden="1" customHeight="1">
      <c r="A108" s="26">
        <v>40</v>
      </c>
      <c r="B108" s="68" t="s">
        <v>111</v>
      </c>
      <c r="C108" s="27" t="s">
        <v>29</v>
      </c>
      <c r="D108" s="73"/>
      <c r="E108" s="53"/>
      <c r="F108" s="57"/>
      <c r="G108" s="29"/>
      <c r="H108" s="57"/>
      <c r="I108" s="42"/>
      <c r="J108" s="42"/>
      <c r="K108" s="42"/>
      <c r="L108" s="57"/>
      <c r="M108" s="42"/>
      <c r="N108" s="42"/>
      <c r="O108" s="42"/>
      <c r="P108" s="57"/>
      <c r="Q108" s="42"/>
      <c r="R108" s="42"/>
      <c r="S108" s="42"/>
      <c r="T108" s="57"/>
      <c r="U108" s="138"/>
      <c r="V108" s="138"/>
      <c r="W108" s="138"/>
      <c r="X108" s="138"/>
      <c r="Y108" s="138"/>
      <c r="Z108" s="53"/>
      <c r="AA108" s="57"/>
      <c r="AB108" s="29"/>
      <c r="AC108" s="29"/>
      <c r="AD108" s="29"/>
      <c r="AE108" s="138"/>
      <c r="AF108" s="53"/>
      <c r="AG108" s="57"/>
      <c r="AH108" s="29"/>
      <c r="AI108" s="29"/>
      <c r="AJ108" s="51"/>
      <c r="AK108" s="12"/>
      <c r="AL108" s="12"/>
    </row>
    <row r="109" spans="1:39" s="41" customFormat="1" ht="30.75" customHeight="1">
      <c r="A109" s="153" t="s">
        <v>112</v>
      </c>
      <c r="B109" s="153"/>
      <c r="C109" s="27"/>
      <c r="D109" s="27"/>
      <c r="E109" s="70">
        <f>SUM(E107:E108)</f>
        <v>11.8</v>
      </c>
      <c r="F109" s="29"/>
      <c r="G109" s="138">
        <f>SUM(G107:G108)</f>
        <v>310326.55614</v>
      </c>
      <c r="H109" s="57"/>
      <c r="I109" s="42"/>
      <c r="J109" s="42"/>
      <c r="K109" s="42"/>
      <c r="L109" s="57"/>
      <c r="M109" s="42"/>
      <c r="N109" s="42"/>
      <c r="O109" s="42"/>
      <c r="P109" s="138"/>
      <c r="Q109" s="42"/>
      <c r="R109" s="42"/>
      <c r="S109" s="42"/>
      <c r="T109" s="138"/>
      <c r="U109" s="138"/>
      <c r="V109" s="138"/>
      <c r="W109" s="138"/>
      <c r="X109" s="138"/>
      <c r="Y109" s="138"/>
      <c r="Z109" s="70">
        <f>Z107</f>
        <v>3.5</v>
      </c>
      <c r="AA109" s="138"/>
      <c r="AB109" s="138">
        <f>AB107</f>
        <v>90326.556140000001</v>
      </c>
      <c r="AC109" s="138">
        <f>AC107</f>
        <v>84906.961460000006</v>
      </c>
      <c r="AD109" s="138">
        <f>AD107</f>
        <v>5419.5946799999947</v>
      </c>
      <c r="AE109" s="138"/>
      <c r="AF109" s="138">
        <f>AF107</f>
        <v>8.3000000000000007</v>
      </c>
      <c r="AG109" s="138"/>
      <c r="AH109" s="44">
        <f>AH107</f>
        <v>220000.00000000003</v>
      </c>
      <c r="AI109" s="138">
        <f>AI107</f>
        <v>193599.99631090937</v>
      </c>
      <c r="AJ109" s="25">
        <f>AJ107</f>
        <v>26400.003689090663</v>
      </c>
      <c r="AK109" s="48">
        <f>AH109+AB109+V109</f>
        <v>310326.55614</v>
      </c>
      <c r="AL109" s="12"/>
    </row>
    <row r="110" spans="1:39" s="41" customFormat="1" ht="29.25" customHeight="1">
      <c r="A110" s="146" t="s">
        <v>113</v>
      </c>
      <c r="B110" s="146"/>
      <c r="C110" s="152"/>
      <c r="D110" s="152"/>
      <c r="E110" s="152"/>
      <c r="F110" s="137"/>
      <c r="G110" s="138"/>
      <c r="H110" s="27"/>
      <c r="I110" s="27"/>
      <c r="J110" s="27"/>
      <c r="K110" s="27"/>
      <c r="L110" s="27"/>
      <c r="M110" s="27"/>
      <c r="N110" s="27"/>
      <c r="O110" s="27"/>
      <c r="P110" s="27"/>
      <c r="Q110" s="27"/>
      <c r="R110" s="27"/>
      <c r="S110" s="27"/>
      <c r="T110" s="27"/>
      <c r="U110" s="29"/>
      <c r="V110" s="29"/>
      <c r="W110" s="29"/>
      <c r="X110" s="29"/>
      <c r="Y110" s="29"/>
      <c r="Z110" s="29"/>
      <c r="AA110" s="27"/>
      <c r="AB110" s="29"/>
      <c r="AC110" s="29"/>
      <c r="AD110" s="29"/>
      <c r="AE110" s="29"/>
      <c r="AF110" s="29"/>
      <c r="AG110" s="29"/>
      <c r="AH110" s="52"/>
      <c r="AI110" s="29"/>
      <c r="AJ110" s="51"/>
      <c r="AK110" s="12"/>
      <c r="AL110" s="12"/>
    </row>
    <row r="111" spans="1:39" s="41" customFormat="1" ht="45" customHeight="1">
      <c r="A111" s="26">
        <v>41</v>
      </c>
      <c r="B111" s="68" t="s">
        <v>114</v>
      </c>
      <c r="C111" s="27" t="s">
        <v>29</v>
      </c>
      <c r="D111" s="27"/>
      <c r="E111" s="33">
        <v>2.82</v>
      </c>
      <c r="F111" s="33"/>
      <c r="G111" s="29">
        <v>73334.083140000002</v>
      </c>
      <c r="H111" s="53"/>
      <c r="I111" s="54"/>
      <c r="J111" s="54"/>
      <c r="K111" s="54"/>
      <c r="L111" s="58"/>
      <c r="M111" s="59"/>
      <c r="N111" s="54"/>
      <c r="O111" s="54" t="s">
        <v>115</v>
      </c>
      <c r="P111" s="58"/>
      <c r="Q111" s="59"/>
      <c r="R111" s="54"/>
      <c r="S111" s="54"/>
      <c r="T111" s="28">
        <f>E111</f>
        <v>2.82</v>
      </c>
      <c r="U111" s="29"/>
      <c r="V111" s="29">
        <f>G111</f>
        <v>73334.083140000002</v>
      </c>
      <c r="W111" s="29"/>
      <c r="X111" s="29">
        <f>V111</f>
        <v>73334.083140000002</v>
      </c>
      <c r="Y111" s="29"/>
      <c r="Z111" s="33"/>
      <c r="AA111" s="28"/>
      <c r="AB111" s="29"/>
      <c r="AC111" s="29"/>
      <c r="AD111" s="29"/>
      <c r="AE111" s="29"/>
      <c r="AF111" s="29"/>
      <c r="AG111" s="29"/>
      <c r="AH111" s="52"/>
      <c r="AI111" s="29"/>
      <c r="AJ111" s="51"/>
      <c r="AK111" s="12"/>
      <c r="AL111" s="12"/>
    </row>
    <row r="112" spans="1:39" s="41" customFormat="1" ht="71.25" customHeight="1">
      <c r="A112" s="26">
        <v>42</v>
      </c>
      <c r="B112" s="68" t="s">
        <v>116</v>
      </c>
      <c r="C112" s="27" t="s">
        <v>29</v>
      </c>
      <c r="D112" s="27"/>
      <c r="E112" s="33">
        <v>3.5</v>
      </c>
      <c r="F112" s="33"/>
      <c r="G112" s="29">
        <v>84438</v>
      </c>
      <c r="H112" s="53"/>
      <c r="I112" s="54"/>
      <c r="J112" s="54"/>
      <c r="K112" s="54"/>
      <c r="L112" s="58"/>
      <c r="M112" s="59"/>
      <c r="N112" s="54"/>
      <c r="O112" s="54"/>
      <c r="P112" s="58"/>
      <c r="Q112" s="59"/>
      <c r="R112" s="54"/>
      <c r="S112" s="54"/>
      <c r="T112" s="28"/>
      <c r="U112" s="29"/>
      <c r="V112" s="29"/>
      <c r="W112" s="29"/>
      <c r="X112" s="29"/>
      <c r="Y112" s="29"/>
      <c r="Z112" s="33">
        <f>E112</f>
        <v>3.5</v>
      </c>
      <c r="AA112" s="28"/>
      <c r="AB112" s="29">
        <f>G112</f>
        <v>84438</v>
      </c>
      <c r="AC112" s="29">
        <v>79371.718779999996</v>
      </c>
      <c r="AD112" s="29">
        <f>AB112-AC112</f>
        <v>5066.2812200000044</v>
      </c>
      <c r="AE112" s="29"/>
      <c r="AF112" s="29"/>
      <c r="AG112" s="29"/>
      <c r="AH112" s="52"/>
      <c r="AI112" s="29"/>
      <c r="AJ112" s="51"/>
      <c r="AK112" s="12"/>
      <c r="AL112" s="12"/>
    </row>
    <row r="113" spans="1:38" s="41" customFormat="1" ht="60.75" customHeight="1">
      <c r="A113" s="26">
        <v>43</v>
      </c>
      <c r="B113" s="68" t="s">
        <v>182</v>
      </c>
      <c r="C113" s="27" t="s">
        <v>29</v>
      </c>
      <c r="D113" s="27"/>
      <c r="E113" s="33">
        <v>6.25</v>
      </c>
      <c r="F113" s="33"/>
      <c r="G113" s="29">
        <f>189000-4000-15000-10000</f>
        <v>160000</v>
      </c>
      <c r="H113" s="53"/>
      <c r="I113" s="54"/>
      <c r="J113" s="54"/>
      <c r="K113" s="54"/>
      <c r="L113" s="58"/>
      <c r="M113" s="59"/>
      <c r="N113" s="54"/>
      <c r="O113" s="54"/>
      <c r="P113" s="58"/>
      <c r="Q113" s="59"/>
      <c r="R113" s="54"/>
      <c r="S113" s="54"/>
      <c r="T113" s="28"/>
      <c r="U113" s="29"/>
      <c r="V113" s="29"/>
      <c r="W113" s="29"/>
      <c r="X113" s="29" t="s">
        <v>115</v>
      </c>
      <c r="Y113" s="29"/>
      <c r="Z113" s="33"/>
      <c r="AA113" s="28"/>
      <c r="AB113" s="29"/>
      <c r="AC113" s="29"/>
      <c r="AD113" s="29"/>
      <c r="AE113" s="29"/>
      <c r="AF113" s="28">
        <f>E113</f>
        <v>6.25</v>
      </c>
      <c r="AG113" s="29"/>
      <c r="AH113" s="52">
        <f>G113</f>
        <v>160000</v>
      </c>
      <c r="AI113" s="29">
        <f t="shared" ref="AI113" si="15">AH113*0.879999983231406</f>
        <v>140799.99731702497</v>
      </c>
      <c r="AJ113" s="51">
        <f>AH113-AI113</f>
        <v>19200.002682975028</v>
      </c>
      <c r="AK113" s="12"/>
      <c r="AL113" s="12"/>
    </row>
    <row r="114" spans="1:38" s="41" customFormat="1" ht="36.75" customHeight="1">
      <c r="A114" s="153" t="s">
        <v>196</v>
      </c>
      <c r="B114" s="153"/>
      <c r="C114" s="73"/>
      <c r="D114" s="73"/>
      <c r="E114" s="57">
        <f>SUM(E111:E113)</f>
        <v>12.57</v>
      </c>
      <c r="F114" s="29"/>
      <c r="G114" s="138">
        <f>SUM(G111:G113)</f>
        <v>317772.08314</v>
      </c>
      <c r="H114" s="57" t="e">
        <f>SUM(#REF!)</f>
        <v>#REF!</v>
      </c>
      <c r="I114" s="42" t="e">
        <f>SUM(#REF!)</f>
        <v>#REF!</v>
      </c>
      <c r="J114" s="42" t="e">
        <f>SUM(#REF!)</f>
        <v>#REF!</v>
      </c>
      <c r="K114" s="42"/>
      <c r="L114" s="57" t="e">
        <f>SUM(#REF!)</f>
        <v>#REF!</v>
      </c>
      <c r="M114" s="42" t="e">
        <f>SUM(#REF!)</f>
        <v>#REF!</v>
      </c>
      <c r="N114" s="42" t="e">
        <f>SUM(#REF!)</f>
        <v>#REF!</v>
      </c>
      <c r="O114" s="42"/>
      <c r="P114" s="57">
        <f>SUM(P111:P111)</f>
        <v>0</v>
      </c>
      <c r="Q114" s="42">
        <f>SUM(Q111:Q111)</f>
        <v>0</v>
      </c>
      <c r="R114" s="42">
        <f>SUM(R111:R111)</f>
        <v>0</v>
      </c>
      <c r="S114" s="42"/>
      <c r="T114" s="57">
        <f>SUM(T111:T111)</f>
        <v>2.82</v>
      </c>
      <c r="U114" s="138">
        <f>SUM(U111:U111)</f>
        <v>0</v>
      </c>
      <c r="V114" s="138">
        <f>SUM(V111:V111)</f>
        <v>73334.083140000002</v>
      </c>
      <c r="W114" s="138"/>
      <c r="X114" s="138">
        <f>SUM(X111:X111)</f>
        <v>73334.083140000002</v>
      </c>
      <c r="Y114" s="138"/>
      <c r="Z114" s="138">
        <f>Z112</f>
        <v>3.5</v>
      </c>
      <c r="AA114" s="57"/>
      <c r="AB114" s="138">
        <f>AB112</f>
        <v>84438</v>
      </c>
      <c r="AC114" s="138">
        <f>AC112</f>
        <v>79371.718779999996</v>
      </c>
      <c r="AD114" s="138">
        <f>AD112</f>
        <v>5066.2812200000044</v>
      </c>
      <c r="AE114" s="138"/>
      <c r="AF114" s="138">
        <f>SUM(AF113:AF113)</f>
        <v>6.25</v>
      </c>
      <c r="AG114" s="138"/>
      <c r="AH114" s="44">
        <f>SUM(AH113:AH113)</f>
        <v>160000</v>
      </c>
      <c r="AI114" s="138">
        <f>SUM(AI113:AI113)</f>
        <v>140799.99731702497</v>
      </c>
      <c r="AJ114" s="25">
        <f>SUM(AJ113:AJ113)</f>
        <v>19200.002682975028</v>
      </c>
      <c r="AK114" s="48">
        <f>AH114+AB114+V114</f>
        <v>317772.08314</v>
      </c>
      <c r="AL114" s="12"/>
    </row>
    <row r="115" spans="1:38" s="41" customFormat="1" ht="28.5" customHeight="1">
      <c r="A115" s="146" t="s">
        <v>117</v>
      </c>
      <c r="B115" s="146"/>
      <c r="C115" s="73"/>
      <c r="D115" s="73"/>
      <c r="E115" s="57"/>
      <c r="F115" s="57"/>
      <c r="G115" s="138"/>
      <c r="H115" s="57"/>
      <c r="I115" s="42"/>
      <c r="J115" s="42"/>
      <c r="K115" s="42"/>
      <c r="L115" s="57"/>
      <c r="M115" s="42"/>
      <c r="N115" s="42"/>
      <c r="O115" s="42"/>
      <c r="P115" s="57"/>
      <c r="Q115" s="42"/>
      <c r="R115" s="42"/>
      <c r="S115" s="42"/>
      <c r="T115" s="57"/>
      <c r="U115" s="138"/>
      <c r="V115" s="138"/>
      <c r="W115" s="138"/>
      <c r="X115" s="138"/>
      <c r="Y115" s="138"/>
      <c r="Z115" s="138"/>
      <c r="AA115" s="57"/>
      <c r="AB115" s="138"/>
      <c r="AC115" s="138"/>
      <c r="AD115" s="138"/>
      <c r="AE115" s="138"/>
      <c r="AF115" s="138"/>
      <c r="AG115" s="138"/>
      <c r="AH115" s="44"/>
      <c r="AI115" s="138"/>
      <c r="AJ115" s="25"/>
      <c r="AK115" s="12"/>
      <c r="AL115" s="12"/>
    </row>
    <row r="116" spans="1:38" s="41" customFormat="1" ht="39.75" customHeight="1">
      <c r="A116" s="26">
        <v>44</v>
      </c>
      <c r="B116" s="68" t="s">
        <v>118</v>
      </c>
      <c r="C116" s="27" t="s">
        <v>29</v>
      </c>
      <c r="D116" s="73"/>
      <c r="E116" s="53">
        <f>38.268-32.25</f>
        <v>6.0180000000000007</v>
      </c>
      <c r="F116" s="56"/>
      <c r="G116" s="29">
        <v>177923.18470000001</v>
      </c>
      <c r="H116" s="57"/>
      <c r="I116" s="42"/>
      <c r="J116" s="42"/>
      <c r="K116" s="42"/>
      <c r="L116" s="57"/>
      <c r="M116" s="42"/>
      <c r="N116" s="42"/>
      <c r="O116" s="42"/>
      <c r="P116" s="57"/>
      <c r="Q116" s="42"/>
      <c r="R116" s="42"/>
      <c r="S116" s="42"/>
      <c r="T116" s="57"/>
      <c r="U116" s="138"/>
      <c r="V116" s="138"/>
      <c r="W116" s="138"/>
      <c r="X116" s="138"/>
      <c r="Y116" s="138"/>
      <c r="Z116" s="53">
        <f>E116</f>
        <v>6.0180000000000007</v>
      </c>
      <c r="AA116" s="57"/>
      <c r="AB116" s="29">
        <f>G116</f>
        <v>177923.18470000001</v>
      </c>
      <c r="AC116" s="29">
        <v>167247.79104000001</v>
      </c>
      <c r="AD116" s="29">
        <f>AB116-AC116</f>
        <v>10675.393660000002</v>
      </c>
      <c r="AE116" s="138"/>
      <c r="AF116" s="138"/>
      <c r="AG116" s="138"/>
      <c r="AH116" s="44"/>
      <c r="AI116" s="138"/>
      <c r="AJ116" s="25"/>
      <c r="AK116" s="12"/>
      <c r="AL116" s="12"/>
    </row>
    <row r="117" spans="1:38" s="41" customFormat="1" ht="45.75" customHeight="1">
      <c r="A117" s="26">
        <v>45</v>
      </c>
      <c r="B117" s="68" t="s">
        <v>119</v>
      </c>
      <c r="C117" s="27" t="s">
        <v>29</v>
      </c>
      <c r="D117" s="73"/>
      <c r="E117" s="53">
        <f>27-23.25</f>
        <v>3.75</v>
      </c>
      <c r="F117" s="56"/>
      <c r="G117" s="29">
        <v>94254.907399999996</v>
      </c>
      <c r="H117" s="57"/>
      <c r="I117" s="42"/>
      <c r="J117" s="42"/>
      <c r="K117" s="42"/>
      <c r="L117" s="57"/>
      <c r="M117" s="42"/>
      <c r="N117" s="42"/>
      <c r="O117" s="42"/>
      <c r="P117" s="57"/>
      <c r="Q117" s="42"/>
      <c r="R117" s="42"/>
      <c r="S117" s="42"/>
      <c r="T117" s="57"/>
      <c r="U117" s="138"/>
      <c r="V117" s="138"/>
      <c r="W117" s="138"/>
      <c r="X117" s="138"/>
      <c r="Y117" s="138"/>
      <c r="Z117" s="53">
        <f>E117</f>
        <v>3.75</v>
      </c>
      <c r="AA117" s="57"/>
      <c r="AB117" s="29">
        <f>G117</f>
        <v>94254.907399999996</v>
      </c>
      <c r="AC117" s="29">
        <v>88599.61159</v>
      </c>
      <c r="AD117" s="29">
        <f>AB117-AC117</f>
        <v>5655.295809999996</v>
      </c>
      <c r="AE117" s="138"/>
      <c r="AF117" s="138"/>
      <c r="AG117" s="138"/>
      <c r="AH117" s="44"/>
      <c r="AI117" s="138"/>
      <c r="AJ117" s="25"/>
      <c r="AK117" s="12"/>
      <c r="AL117" s="12"/>
    </row>
    <row r="118" spans="1:38" s="41" customFormat="1" ht="64.5" customHeight="1">
      <c r="A118" s="26">
        <v>46</v>
      </c>
      <c r="B118" s="68" t="s">
        <v>178</v>
      </c>
      <c r="C118" s="27" t="s">
        <v>29</v>
      </c>
      <c r="D118" s="73"/>
      <c r="E118" s="53">
        <v>3.5</v>
      </c>
      <c r="F118" s="56"/>
      <c r="G118" s="29">
        <f>E118*30000-2000</f>
        <v>103000</v>
      </c>
      <c r="H118" s="57"/>
      <c r="I118" s="42"/>
      <c r="J118" s="42"/>
      <c r="K118" s="42"/>
      <c r="L118" s="57"/>
      <c r="M118" s="42"/>
      <c r="N118" s="42"/>
      <c r="O118" s="42"/>
      <c r="P118" s="57"/>
      <c r="Q118" s="42"/>
      <c r="R118" s="42"/>
      <c r="S118" s="42"/>
      <c r="T118" s="57"/>
      <c r="U118" s="138"/>
      <c r="V118" s="138"/>
      <c r="W118" s="138"/>
      <c r="X118" s="138"/>
      <c r="Y118" s="138"/>
      <c r="Z118" s="53"/>
      <c r="AA118" s="57"/>
      <c r="AB118" s="29"/>
      <c r="AC118" s="29"/>
      <c r="AD118" s="29"/>
      <c r="AE118" s="138"/>
      <c r="AF118" s="28">
        <f>E118</f>
        <v>3.5</v>
      </c>
      <c r="AG118" s="29"/>
      <c r="AH118" s="52">
        <f>G118</f>
        <v>103000</v>
      </c>
      <c r="AI118" s="29">
        <f t="shared" ref="AI118:AI119" si="16">AH118*0.879999983231406</f>
        <v>90639.998272834826</v>
      </c>
      <c r="AJ118" s="51">
        <f>AH118-AI118</f>
        <v>12360.001727165174</v>
      </c>
      <c r="AK118" s="12"/>
      <c r="AL118" s="12"/>
    </row>
    <row r="119" spans="1:38" s="41" customFormat="1" ht="46.5" customHeight="1">
      <c r="A119" s="26">
        <v>47</v>
      </c>
      <c r="B119" s="68" t="s">
        <v>179</v>
      </c>
      <c r="C119" s="27" t="s">
        <v>29</v>
      </c>
      <c r="D119" s="73"/>
      <c r="E119" s="53">
        <v>2.9</v>
      </c>
      <c r="F119" s="56"/>
      <c r="G119" s="29">
        <f>E119*30000-3500-3500</f>
        <v>80000</v>
      </c>
      <c r="H119" s="57"/>
      <c r="I119" s="42"/>
      <c r="J119" s="42"/>
      <c r="K119" s="42"/>
      <c r="L119" s="57"/>
      <c r="M119" s="42"/>
      <c r="N119" s="42"/>
      <c r="O119" s="42"/>
      <c r="P119" s="57"/>
      <c r="Q119" s="42"/>
      <c r="R119" s="42"/>
      <c r="S119" s="42"/>
      <c r="T119" s="57"/>
      <c r="U119" s="138"/>
      <c r="V119" s="138"/>
      <c r="W119" s="138"/>
      <c r="X119" s="138"/>
      <c r="Y119" s="138"/>
      <c r="Z119" s="53"/>
      <c r="AA119" s="57"/>
      <c r="AB119" s="29"/>
      <c r="AC119" s="29"/>
      <c r="AD119" s="29"/>
      <c r="AE119" s="138"/>
      <c r="AF119" s="28">
        <f>E119</f>
        <v>2.9</v>
      </c>
      <c r="AG119" s="29"/>
      <c r="AH119" s="52">
        <f>G119</f>
        <v>80000</v>
      </c>
      <c r="AI119" s="29">
        <f t="shared" si="16"/>
        <v>70399.998658512486</v>
      </c>
      <c r="AJ119" s="51">
        <f>AH119-AI119</f>
        <v>9600.0013414875139</v>
      </c>
      <c r="AK119" s="12"/>
      <c r="AL119" s="12"/>
    </row>
    <row r="120" spans="1:38" s="41" customFormat="1" ht="34.15" customHeight="1">
      <c r="A120" s="153" t="s">
        <v>120</v>
      </c>
      <c r="B120" s="153"/>
      <c r="C120" s="73"/>
      <c r="D120" s="73"/>
      <c r="E120" s="57">
        <f>SUM(E116:E119)</f>
        <v>16.167999999999999</v>
      </c>
      <c r="F120" s="29"/>
      <c r="G120" s="138">
        <f>SUM(G116:G119)</f>
        <v>455178.09210000001</v>
      </c>
      <c r="H120" s="57"/>
      <c r="I120" s="42"/>
      <c r="J120" s="42"/>
      <c r="K120" s="42"/>
      <c r="L120" s="57"/>
      <c r="M120" s="42"/>
      <c r="N120" s="42"/>
      <c r="O120" s="42"/>
      <c r="P120" s="57"/>
      <c r="Q120" s="42"/>
      <c r="R120" s="42"/>
      <c r="S120" s="42"/>
      <c r="T120" s="57"/>
      <c r="U120" s="138"/>
      <c r="V120" s="138"/>
      <c r="W120" s="138"/>
      <c r="X120" s="138"/>
      <c r="Y120" s="138"/>
      <c r="Z120" s="57">
        <f>SUM(Z116:Z117)</f>
        <v>9.7680000000000007</v>
      </c>
      <c r="AA120" s="57"/>
      <c r="AB120" s="138">
        <f>SUM(AB116:AB117)</f>
        <v>272178.09210000001</v>
      </c>
      <c r="AC120" s="138">
        <f>SUM(AC116:AC117)</f>
        <v>255847.40263000003</v>
      </c>
      <c r="AD120" s="138">
        <f>SUM(AD116:AD117)</f>
        <v>16330.689469999998</v>
      </c>
      <c r="AE120" s="138"/>
      <c r="AF120" s="138">
        <f>SUM(AF118:AF119)</f>
        <v>6.4</v>
      </c>
      <c r="AG120" s="138"/>
      <c r="AH120" s="44">
        <f>SUM(AH118:AH119)</f>
        <v>183000</v>
      </c>
      <c r="AI120" s="138">
        <f>SUM(AI118:AI119)</f>
        <v>161039.9969313473</v>
      </c>
      <c r="AJ120" s="25">
        <f>SUM(AJ118:AJ119)</f>
        <v>21960.003068652688</v>
      </c>
      <c r="AK120" s="48">
        <f>AH120+AB120+V120</f>
        <v>455178.09210000001</v>
      </c>
      <c r="AL120" s="12"/>
    </row>
    <row r="121" spans="1:38" s="41" customFormat="1" ht="33.75" customHeight="1">
      <c r="A121" s="146" t="s">
        <v>121</v>
      </c>
      <c r="B121" s="146"/>
      <c r="C121" s="152"/>
      <c r="D121" s="152"/>
      <c r="E121" s="152"/>
      <c r="F121" s="137"/>
      <c r="G121" s="138"/>
      <c r="H121" s="27"/>
      <c r="I121" s="27"/>
      <c r="J121" s="27"/>
      <c r="K121" s="27"/>
      <c r="L121" s="27"/>
      <c r="M121" s="27"/>
      <c r="N121" s="27"/>
      <c r="O121" s="27"/>
      <c r="P121" s="27"/>
      <c r="Q121" s="27"/>
      <c r="R121" s="27"/>
      <c r="S121" s="27"/>
      <c r="T121" s="27"/>
      <c r="U121" s="29"/>
      <c r="V121" s="29"/>
      <c r="W121" s="29"/>
      <c r="X121" s="29"/>
      <c r="Y121" s="29"/>
      <c r="Z121" s="29"/>
      <c r="AA121" s="27"/>
      <c r="AB121" s="29"/>
      <c r="AC121" s="29"/>
      <c r="AD121" s="29"/>
      <c r="AE121" s="29"/>
      <c r="AF121" s="29"/>
      <c r="AG121" s="29"/>
      <c r="AH121" s="52"/>
      <c r="AI121" s="29"/>
      <c r="AJ121" s="51"/>
      <c r="AK121" s="12"/>
      <c r="AL121" s="12"/>
    </row>
    <row r="122" spans="1:38" s="41" customFormat="1" ht="51" customHeight="1">
      <c r="A122" s="26">
        <v>48</v>
      </c>
      <c r="B122" s="68" t="s">
        <v>122</v>
      </c>
      <c r="C122" s="27" t="s">
        <v>29</v>
      </c>
      <c r="D122" s="27"/>
      <c r="E122" s="33">
        <f>8.63-1.82</f>
        <v>6.8100000000000005</v>
      </c>
      <c r="F122" s="33"/>
      <c r="G122" s="29">
        <v>163235.96216</v>
      </c>
      <c r="H122" s="53"/>
      <c r="I122" s="54"/>
      <c r="J122" s="54"/>
      <c r="K122" s="54"/>
      <c r="L122" s="58"/>
      <c r="M122" s="59"/>
      <c r="N122" s="54"/>
      <c r="O122" s="54"/>
      <c r="P122" s="28"/>
      <c r="Q122" s="54"/>
      <c r="R122" s="54"/>
      <c r="S122" s="54"/>
      <c r="T122" s="28">
        <f>E122</f>
        <v>6.8100000000000005</v>
      </c>
      <c r="U122" s="29"/>
      <c r="V122" s="29">
        <f>G122</f>
        <v>163235.96216</v>
      </c>
      <c r="W122" s="29"/>
      <c r="X122" s="29">
        <f>V122</f>
        <v>163235.96216</v>
      </c>
      <c r="Y122" s="29"/>
      <c r="Z122" s="29"/>
      <c r="AA122" s="28"/>
      <c r="AB122" s="64"/>
      <c r="AC122" s="64"/>
      <c r="AD122" s="64"/>
      <c r="AE122" s="64"/>
      <c r="AF122" s="64"/>
      <c r="AG122" s="29"/>
      <c r="AH122" s="52"/>
      <c r="AI122" s="29"/>
      <c r="AJ122" s="51"/>
      <c r="AK122" s="12"/>
      <c r="AL122" s="12"/>
    </row>
    <row r="123" spans="1:38" s="41" customFormat="1" ht="25.5" customHeight="1">
      <c r="A123" s="26">
        <v>49</v>
      </c>
      <c r="B123" s="68" t="s">
        <v>123</v>
      </c>
      <c r="C123" s="27" t="s">
        <v>29</v>
      </c>
      <c r="D123" s="27"/>
      <c r="E123" s="33">
        <v>6</v>
      </c>
      <c r="F123" s="33"/>
      <c r="G123" s="29">
        <v>142640.61877</v>
      </c>
      <c r="H123" s="53"/>
      <c r="I123" s="54"/>
      <c r="J123" s="54"/>
      <c r="K123" s="54"/>
      <c r="L123" s="58"/>
      <c r="M123" s="59"/>
      <c r="N123" s="54"/>
      <c r="O123" s="54"/>
      <c r="P123" s="28"/>
      <c r="Q123" s="54"/>
      <c r="R123" s="54"/>
      <c r="S123" s="54"/>
      <c r="T123" s="28"/>
      <c r="U123" s="29"/>
      <c r="V123" s="29"/>
      <c r="W123" s="29"/>
      <c r="X123" s="29"/>
      <c r="Y123" s="29"/>
      <c r="Z123" s="28">
        <v>6</v>
      </c>
      <c r="AA123" s="28"/>
      <c r="AB123" s="29">
        <f>G123</f>
        <v>142640.61877</v>
      </c>
      <c r="AC123" s="29">
        <v>134082.17958</v>
      </c>
      <c r="AD123" s="29">
        <f>AB123-AC123</f>
        <v>8558.4391900000046</v>
      </c>
      <c r="AE123" s="64"/>
      <c r="AF123" s="64"/>
      <c r="AG123" s="29"/>
      <c r="AH123" s="52"/>
      <c r="AI123" s="29"/>
      <c r="AJ123" s="51"/>
      <c r="AK123" s="12"/>
      <c r="AL123" s="12"/>
    </row>
    <row r="124" spans="1:38" s="41" customFormat="1" ht="27" customHeight="1">
      <c r="A124" s="26">
        <v>50</v>
      </c>
      <c r="B124" s="68" t="s">
        <v>124</v>
      </c>
      <c r="C124" s="27" t="s">
        <v>42</v>
      </c>
      <c r="D124" s="27"/>
      <c r="E124" s="33">
        <v>6</v>
      </c>
      <c r="F124" s="33"/>
      <c r="G124" s="29">
        <f>355000+25000</f>
        <v>380000</v>
      </c>
      <c r="H124" s="53"/>
      <c r="I124" s="54"/>
      <c r="J124" s="54"/>
      <c r="K124" s="54"/>
      <c r="L124" s="58"/>
      <c r="M124" s="59"/>
      <c r="N124" s="54"/>
      <c r="O124" s="54"/>
      <c r="P124" s="28"/>
      <c r="Q124" s="54"/>
      <c r="R124" s="54"/>
      <c r="S124" s="54"/>
      <c r="T124" s="28"/>
      <c r="U124" s="29"/>
      <c r="V124" s="29"/>
      <c r="W124" s="29"/>
      <c r="X124" s="29"/>
      <c r="Y124" s="29"/>
      <c r="Z124" s="28"/>
      <c r="AA124" s="28"/>
      <c r="AB124" s="29"/>
      <c r="AC124" s="29"/>
      <c r="AD124" s="29"/>
      <c r="AE124" s="64"/>
      <c r="AF124" s="28">
        <f>E124</f>
        <v>6</v>
      </c>
      <c r="AG124" s="29"/>
      <c r="AH124" s="52">
        <f>G124</f>
        <v>380000</v>
      </c>
      <c r="AI124" s="29">
        <f t="shared" ref="AI124" si="17">AH124*0.879999983231406</f>
        <v>334399.99362793431</v>
      </c>
      <c r="AJ124" s="51">
        <f>AH124-AI124</f>
        <v>45600.006372065691</v>
      </c>
      <c r="AK124" s="12"/>
      <c r="AL124" s="12"/>
    </row>
    <row r="125" spans="1:38" s="41" customFormat="1" ht="33" customHeight="1">
      <c r="A125" s="60"/>
      <c r="B125" s="50" t="s">
        <v>51</v>
      </c>
      <c r="C125" s="27"/>
      <c r="D125" s="27"/>
      <c r="E125" s="67">
        <f>SUM(E122:E124)</f>
        <v>18.810000000000002</v>
      </c>
      <c r="F125" s="29"/>
      <c r="G125" s="29">
        <f>SUM(G122:G124)</f>
        <v>685876.58092999994</v>
      </c>
      <c r="H125" s="53"/>
      <c r="I125" s="54"/>
      <c r="J125" s="54"/>
      <c r="K125" s="54"/>
      <c r="L125" s="58"/>
      <c r="M125" s="59"/>
      <c r="N125" s="54"/>
      <c r="O125" s="54"/>
      <c r="P125" s="28"/>
      <c r="Q125" s="54"/>
      <c r="R125" s="54"/>
      <c r="S125" s="54"/>
      <c r="T125" s="29">
        <f>SUM(T122:T122)</f>
        <v>6.8100000000000005</v>
      </c>
      <c r="U125" s="29"/>
      <c r="V125" s="29">
        <f>SUM(V122:V122)</f>
        <v>163235.96216</v>
      </c>
      <c r="W125" s="29">
        <f>SUM(W122:W122)</f>
        <v>0</v>
      </c>
      <c r="X125" s="29">
        <f>SUM(X122:X122)</f>
        <v>163235.96216</v>
      </c>
      <c r="Y125" s="29"/>
      <c r="Z125" s="67">
        <f>SUM(Z122:Z123)</f>
        <v>6</v>
      </c>
      <c r="AA125" s="33"/>
      <c r="AB125" s="29">
        <f>SUM(AB122:AB123)</f>
        <v>142640.61877</v>
      </c>
      <c r="AC125" s="29">
        <f>SUM(AC122:AC123)</f>
        <v>134082.17958</v>
      </c>
      <c r="AD125" s="29">
        <f>SUM(AD122:AD123)</f>
        <v>8558.4391900000046</v>
      </c>
      <c r="AE125" s="29"/>
      <c r="AF125" s="29">
        <f>SUM(AF124)</f>
        <v>6</v>
      </c>
      <c r="AG125" s="29"/>
      <c r="AH125" s="52">
        <f>SUM(AH124)</f>
        <v>380000</v>
      </c>
      <c r="AI125" s="29">
        <f>SUM(AI124)</f>
        <v>334399.99362793431</v>
      </c>
      <c r="AJ125" s="51">
        <f>SUM(AJ124)</f>
        <v>45600.006372065691</v>
      </c>
      <c r="AK125" s="12"/>
      <c r="AL125" s="12"/>
    </row>
    <row r="126" spans="1:38" s="41" customFormat="1" ht="33" customHeight="1">
      <c r="A126" s="60"/>
      <c r="B126" s="50" t="s">
        <v>52</v>
      </c>
      <c r="C126" s="27"/>
      <c r="D126" s="27"/>
      <c r="E126" s="67">
        <f>T126+Z126</f>
        <v>11.998000000000001</v>
      </c>
      <c r="F126" s="33"/>
      <c r="G126" s="29">
        <f>V126+AB126</f>
        <v>324796.90000000002</v>
      </c>
      <c r="H126" s="53"/>
      <c r="I126" s="54"/>
      <c r="J126" s="54"/>
      <c r="K126" s="54"/>
      <c r="L126" s="58"/>
      <c r="M126" s="59"/>
      <c r="N126" s="54"/>
      <c r="O126" s="54"/>
      <c r="P126" s="28"/>
      <c r="Q126" s="54"/>
      <c r="R126" s="54"/>
      <c r="S126" s="54"/>
      <c r="T126" s="29">
        <v>7.4320000000000004</v>
      </c>
      <c r="U126" s="29"/>
      <c r="V126" s="29">
        <v>248931</v>
      </c>
      <c r="W126" s="29"/>
      <c r="X126" s="29">
        <f>V126</f>
        <v>248931</v>
      </c>
      <c r="Y126" s="29"/>
      <c r="Z126" s="67">
        <v>4.5659999999999998</v>
      </c>
      <c r="AA126" s="33"/>
      <c r="AB126" s="29">
        <v>75865.899999999994</v>
      </c>
      <c r="AC126" s="29"/>
      <c r="AD126" s="29">
        <f>AB126</f>
        <v>75865.899999999994</v>
      </c>
      <c r="AE126" s="29"/>
      <c r="AF126" s="29"/>
      <c r="AG126" s="29"/>
      <c r="AH126" s="52"/>
      <c r="AI126" s="29"/>
      <c r="AJ126" s="51"/>
      <c r="AK126" s="12"/>
      <c r="AL126" s="12"/>
    </row>
    <row r="127" spans="1:38" s="41" customFormat="1" ht="45" customHeight="1">
      <c r="A127" s="153" t="s">
        <v>125</v>
      </c>
      <c r="B127" s="153"/>
      <c r="C127" s="153"/>
      <c r="D127" s="30"/>
      <c r="E127" s="138">
        <f>SUM(E125:E126)</f>
        <v>30.808000000000003</v>
      </c>
      <c r="F127" s="138"/>
      <c r="G127" s="138">
        <f>SUM(G125:G126)</f>
        <v>1010673.48093</v>
      </c>
      <c r="H127" s="57" t="e">
        <f>SUM(#REF!)</f>
        <v>#REF!</v>
      </c>
      <c r="I127" s="42" t="e">
        <f>SUM(#REF!)</f>
        <v>#REF!</v>
      </c>
      <c r="J127" s="42" t="e">
        <f>SUM(#REF!)</f>
        <v>#REF!</v>
      </c>
      <c r="K127" s="42"/>
      <c r="L127" s="57" t="e">
        <f>SUM(#REF!)</f>
        <v>#REF!</v>
      </c>
      <c r="M127" s="42" t="e">
        <f>SUM(#REF!)</f>
        <v>#REF!</v>
      </c>
      <c r="N127" s="42" t="e">
        <f>SUM(#REF!)</f>
        <v>#REF!</v>
      </c>
      <c r="O127" s="42" t="e">
        <f>SUM(#REF!)</f>
        <v>#REF!</v>
      </c>
      <c r="P127" s="138">
        <f>SUM(P122:P126)</f>
        <v>0</v>
      </c>
      <c r="Q127" s="42">
        <f>SUM(Q122:Q126)</f>
        <v>0</v>
      </c>
      <c r="R127" s="42">
        <f>SUM(R122:R126)</f>
        <v>0</v>
      </c>
      <c r="S127" s="42">
        <f>SUM(S122:S126)</f>
        <v>0</v>
      </c>
      <c r="T127" s="138">
        <f>SUM(T125:T126)</f>
        <v>14.242000000000001</v>
      </c>
      <c r="U127" s="138"/>
      <c r="V127" s="138">
        <f>SUM(V125:V126)</f>
        <v>412166.96216</v>
      </c>
      <c r="W127" s="138">
        <f>SUM(W125:W126)</f>
        <v>0</v>
      </c>
      <c r="X127" s="138">
        <f>SUM(X125:X126)</f>
        <v>412166.96216</v>
      </c>
      <c r="Y127" s="138"/>
      <c r="Z127" s="138">
        <f>SUM(Z125:Z126)</f>
        <v>10.565999999999999</v>
      </c>
      <c r="AA127" s="138"/>
      <c r="AB127" s="138">
        <f>SUM(AB125:AB126)</f>
        <v>218506.51877</v>
      </c>
      <c r="AC127" s="138">
        <f>SUM(AC125:AC126)</f>
        <v>134082.17958</v>
      </c>
      <c r="AD127" s="138">
        <f>SUM(AD125:AD126)</f>
        <v>84424.339189999999</v>
      </c>
      <c r="AE127" s="138"/>
      <c r="AF127" s="138">
        <f>SUM(AF125:AF126)</f>
        <v>6</v>
      </c>
      <c r="AG127" s="138"/>
      <c r="AH127" s="138">
        <f>SUM(AH125:AH126)</f>
        <v>380000</v>
      </c>
      <c r="AI127" s="138">
        <f>SUM(AI125:AI126)</f>
        <v>334399.99362793431</v>
      </c>
      <c r="AJ127" s="25">
        <f>SUM(AJ125:AJ126)</f>
        <v>45600.006372065691</v>
      </c>
      <c r="AK127" s="48">
        <f>AH127+AB127+V127</f>
        <v>1010673.48093</v>
      </c>
      <c r="AL127" s="12"/>
    </row>
    <row r="128" spans="1:38" s="41" customFormat="1" ht="28.5" customHeight="1">
      <c r="A128" s="146" t="s">
        <v>33</v>
      </c>
      <c r="B128" s="146"/>
      <c r="C128" s="69"/>
      <c r="D128" s="30"/>
      <c r="E128" s="138"/>
      <c r="F128" s="138"/>
      <c r="G128" s="138"/>
      <c r="H128" s="57"/>
      <c r="I128" s="42"/>
      <c r="J128" s="42"/>
      <c r="K128" s="42"/>
      <c r="L128" s="57"/>
      <c r="M128" s="42"/>
      <c r="N128" s="42"/>
      <c r="O128" s="42"/>
      <c r="P128" s="138"/>
      <c r="Q128" s="42"/>
      <c r="R128" s="42"/>
      <c r="S128" s="42"/>
      <c r="T128" s="138"/>
      <c r="U128" s="138"/>
      <c r="V128" s="138"/>
      <c r="W128" s="138"/>
      <c r="X128" s="138"/>
      <c r="Y128" s="138"/>
      <c r="Z128" s="138"/>
      <c r="AA128" s="138"/>
      <c r="AB128" s="138"/>
      <c r="AC128" s="138"/>
      <c r="AD128" s="138"/>
      <c r="AE128" s="138"/>
      <c r="AF128" s="138"/>
      <c r="AG128" s="138"/>
      <c r="AH128" s="44"/>
      <c r="AI128" s="138"/>
      <c r="AJ128" s="25"/>
      <c r="AK128" s="12"/>
      <c r="AL128" s="12"/>
    </row>
    <row r="129" spans="1:38" s="41" customFormat="1" ht="42.75" customHeight="1">
      <c r="A129" s="26">
        <v>51</v>
      </c>
      <c r="B129" s="68" t="s">
        <v>126</v>
      </c>
      <c r="C129" s="27" t="s">
        <v>29</v>
      </c>
      <c r="D129" s="30"/>
      <c r="E129" s="33">
        <v>3.8</v>
      </c>
      <c r="F129" s="138"/>
      <c r="G129" s="29">
        <v>91396.939280000006</v>
      </c>
      <c r="H129" s="57"/>
      <c r="I129" s="42"/>
      <c r="J129" s="42"/>
      <c r="K129" s="42"/>
      <c r="L129" s="57"/>
      <c r="M129" s="42"/>
      <c r="N129" s="42"/>
      <c r="O129" s="42"/>
      <c r="P129" s="138"/>
      <c r="Q129" s="42"/>
      <c r="R129" s="42"/>
      <c r="S129" s="42"/>
      <c r="T129" s="138"/>
      <c r="U129" s="138"/>
      <c r="V129" s="138"/>
      <c r="W129" s="138"/>
      <c r="X129" s="138"/>
      <c r="Y129" s="138"/>
      <c r="Z129" s="28">
        <f>E129</f>
        <v>3.8</v>
      </c>
      <c r="AA129" s="138"/>
      <c r="AB129" s="29">
        <f>G129</f>
        <v>91396.939280000006</v>
      </c>
      <c r="AC129" s="29">
        <v>85913.121599999999</v>
      </c>
      <c r="AD129" s="29">
        <f>AB129-AC129</f>
        <v>5483.8176800000074</v>
      </c>
      <c r="AE129" s="138"/>
      <c r="AF129" s="138"/>
      <c r="AG129" s="138"/>
      <c r="AH129" s="44"/>
      <c r="AI129" s="138"/>
      <c r="AJ129" s="25"/>
      <c r="AK129" s="12"/>
      <c r="AL129" s="12"/>
    </row>
    <row r="130" spans="1:38" s="41" customFormat="1" ht="45" customHeight="1">
      <c r="A130" s="26">
        <v>52</v>
      </c>
      <c r="B130" s="68" t="s">
        <v>127</v>
      </c>
      <c r="C130" s="27" t="s">
        <v>29</v>
      </c>
      <c r="D130" s="30"/>
      <c r="E130" s="28">
        <v>5</v>
      </c>
      <c r="F130" s="138"/>
      <c r="G130" s="29">
        <v>119407.55494</v>
      </c>
      <c r="H130" s="57"/>
      <c r="I130" s="42"/>
      <c r="J130" s="42"/>
      <c r="K130" s="42"/>
      <c r="L130" s="57"/>
      <c r="M130" s="42"/>
      <c r="N130" s="42"/>
      <c r="O130" s="42"/>
      <c r="P130" s="138"/>
      <c r="Q130" s="42"/>
      <c r="R130" s="42"/>
      <c r="S130" s="42"/>
      <c r="T130" s="138"/>
      <c r="U130" s="138"/>
      <c r="V130" s="138"/>
      <c r="W130" s="138"/>
      <c r="X130" s="138"/>
      <c r="Y130" s="138"/>
      <c r="Z130" s="28">
        <f>E130</f>
        <v>5</v>
      </c>
      <c r="AA130" s="138"/>
      <c r="AB130" s="29">
        <f>G130</f>
        <v>119407.55494</v>
      </c>
      <c r="AC130" s="29">
        <v>112243.09991999999</v>
      </c>
      <c r="AD130" s="29">
        <f>AB130-AC130</f>
        <v>7164.4550200000085</v>
      </c>
      <c r="AE130" s="138"/>
      <c r="AF130" s="138"/>
      <c r="AG130" s="138"/>
      <c r="AH130" s="44" t="s">
        <v>62</v>
      </c>
      <c r="AI130" s="138"/>
      <c r="AJ130" s="25"/>
      <c r="AK130" s="12"/>
      <c r="AL130" s="12"/>
    </row>
    <row r="131" spans="1:38" s="41" customFormat="1" ht="27" customHeight="1">
      <c r="A131" s="26">
        <v>53</v>
      </c>
      <c r="B131" s="126" t="s">
        <v>180</v>
      </c>
      <c r="C131" s="27" t="s">
        <v>29</v>
      </c>
      <c r="D131" s="27"/>
      <c r="E131" s="28">
        <v>2.8</v>
      </c>
      <c r="F131" s="127"/>
      <c r="G131" s="61">
        <f>E131*30000+16000-4000</f>
        <v>96000</v>
      </c>
      <c r="H131" s="57"/>
      <c r="I131" s="42"/>
      <c r="J131" s="42"/>
      <c r="K131" s="42"/>
      <c r="L131" s="57"/>
      <c r="M131" s="42"/>
      <c r="N131" s="42"/>
      <c r="O131" s="42"/>
      <c r="P131" s="138"/>
      <c r="Q131" s="42"/>
      <c r="R131" s="42"/>
      <c r="S131" s="42"/>
      <c r="T131" s="138"/>
      <c r="U131" s="138"/>
      <c r="V131" s="138"/>
      <c r="W131" s="138"/>
      <c r="X131" s="138"/>
      <c r="Y131" s="138"/>
      <c r="Z131" s="28"/>
      <c r="AA131" s="138"/>
      <c r="AB131" s="29"/>
      <c r="AC131" s="29"/>
      <c r="AD131" s="29"/>
      <c r="AE131" s="138"/>
      <c r="AF131" s="28">
        <f>E131</f>
        <v>2.8</v>
      </c>
      <c r="AG131" s="29"/>
      <c r="AH131" s="52">
        <f>G131</f>
        <v>96000</v>
      </c>
      <c r="AI131" s="29">
        <f t="shared" ref="AI131" si="18">AH131*0.879999983231406</f>
        <v>84479.998390214983</v>
      </c>
      <c r="AJ131" s="51">
        <f>AH131-AI131</f>
        <v>11520.001609785017</v>
      </c>
      <c r="AK131" s="12"/>
      <c r="AL131" s="12"/>
    </row>
    <row r="132" spans="1:38" s="41" customFormat="1" ht="29.25" customHeight="1">
      <c r="A132" s="153" t="s">
        <v>128</v>
      </c>
      <c r="B132" s="153"/>
      <c r="C132" s="30"/>
      <c r="D132" s="30"/>
      <c r="E132" s="70">
        <f>SUM(E129:E131)</f>
        <v>11.600000000000001</v>
      </c>
      <c r="F132" s="29"/>
      <c r="G132" s="138">
        <f>SUM(G129:G131)</f>
        <v>306804.49421999999</v>
      </c>
      <c r="H132" s="57"/>
      <c r="I132" s="42"/>
      <c r="J132" s="42"/>
      <c r="K132" s="42"/>
      <c r="L132" s="57"/>
      <c r="M132" s="42"/>
      <c r="N132" s="42"/>
      <c r="O132" s="42"/>
      <c r="P132" s="138"/>
      <c r="Q132" s="42"/>
      <c r="R132" s="42"/>
      <c r="S132" s="42"/>
      <c r="T132" s="138"/>
      <c r="U132" s="138"/>
      <c r="V132" s="138"/>
      <c r="W132" s="138"/>
      <c r="X132" s="138"/>
      <c r="Y132" s="138"/>
      <c r="Z132" s="70">
        <f>SUM(Z129:Z130)</f>
        <v>8.8000000000000007</v>
      </c>
      <c r="AA132" s="138"/>
      <c r="AB132" s="138">
        <f>SUM(AB129:AB130)</f>
        <v>210804.49421999999</v>
      </c>
      <c r="AC132" s="138">
        <f>SUM(AC129:AC130)</f>
        <v>198156.22151999999</v>
      </c>
      <c r="AD132" s="138">
        <f>SUM(AD129:AD130)</f>
        <v>12648.272700000016</v>
      </c>
      <c r="AE132" s="138"/>
      <c r="AF132" s="138">
        <f>SUM(AF131)</f>
        <v>2.8</v>
      </c>
      <c r="AG132" s="138"/>
      <c r="AH132" s="44">
        <f>SUM(AH131)</f>
        <v>96000</v>
      </c>
      <c r="AI132" s="138">
        <f>SUM(AI131)</f>
        <v>84479.998390214983</v>
      </c>
      <c r="AJ132" s="25">
        <f>SUM(AJ131)</f>
        <v>11520.001609785017</v>
      </c>
      <c r="AK132" s="48">
        <f>AH132+AB132+V132</f>
        <v>306804.49421999999</v>
      </c>
      <c r="AL132" s="12"/>
    </row>
    <row r="133" spans="1:38" s="41" customFormat="1" ht="25.5" customHeight="1">
      <c r="A133" s="146" t="s">
        <v>129</v>
      </c>
      <c r="B133" s="146"/>
      <c r="C133" s="152"/>
      <c r="D133" s="152"/>
      <c r="E133" s="152"/>
      <c r="F133" s="137"/>
      <c r="G133" s="138"/>
      <c r="H133" s="27"/>
      <c r="I133" s="27"/>
      <c r="J133" s="27"/>
      <c r="K133" s="27"/>
      <c r="L133" s="27"/>
      <c r="M133" s="27"/>
      <c r="N133" s="27"/>
      <c r="O133" s="27"/>
      <c r="P133" s="27"/>
      <c r="Q133" s="27"/>
      <c r="R133" s="27"/>
      <c r="S133" s="27"/>
      <c r="T133" s="27"/>
      <c r="U133" s="29"/>
      <c r="V133" s="29"/>
      <c r="W133" s="29"/>
      <c r="X133" s="29"/>
      <c r="Y133" s="29"/>
      <c r="Z133" s="29"/>
      <c r="AA133" s="27"/>
      <c r="AB133" s="29"/>
      <c r="AC133" s="29"/>
      <c r="AD133" s="29"/>
      <c r="AE133" s="29"/>
      <c r="AF133" s="29"/>
      <c r="AG133" s="29"/>
      <c r="AH133" s="52"/>
      <c r="AI133" s="29"/>
      <c r="AJ133" s="51"/>
      <c r="AK133" s="12"/>
      <c r="AL133" s="12"/>
    </row>
    <row r="134" spans="1:38" s="41" customFormat="1" ht="45" customHeight="1">
      <c r="A134" s="26">
        <v>54</v>
      </c>
      <c r="B134" s="68" t="s">
        <v>130</v>
      </c>
      <c r="C134" s="27" t="s">
        <v>29</v>
      </c>
      <c r="D134" s="27"/>
      <c r="E134" s="33">
        <v>8.32</v>
      </c>
      <c r="F134" s="33"/>
      <c r="G134" s="29">
        <v>203076.71726999999</v>
      </c>
      <c r="H134" s="53"/>
      <c r="I134" s="54"/>
      <c r="J134" s="54"/>
      <c r="K134" s="54"/>
      <c r="L134" s="28"/>
      <c r="M134" s="54"/>
      <c r="N134" s="54"/>
      <c r="O134" s="54"/>
      <c r="P134" s="58"/>
      <c r="Q134" s="59"/>
      <c r="R134" s="54"/>
      <c r="S134" s="54"/>
      <c r="T134" s="28">
        <f>E134</f>
        <v>8.32</v>
      </c>
      <c r="U134" s="29"/>
      <c r="V134" s="29">
        <f>G134</f>
        <v>203076.71726999999</v>
      </c>
      <c r="W134" s="29"/>
      <c r="X134" s="29">
        <f>V134</f>
        <v>203076.71726999999</v>
      </c>
      <c r="Y134" s="29"/>
      <c r="Z134" s="33"/>
      <c r="AA134" s="28"/>
      <c r="AB134" s="29"/>
      <c r="AC134" s="29"/>
      <c r="AD134" s="29"/>
      <c r="AE134" s="29"/>
      <c r="AF134" s="29"/>
      <c r="AG134" s="29"/>
      <c r="AH134" s="52"/>
      <c r="AI134" s="29"/>
      <c r="AJ134" s="51"/>
      <c r="AK134" s="12"/>
      <c r="AL134" s="12"/>
    </row>
    <row r="135" spans="1:38" s="41" customFormat="1" ht="45" customHeight="1">
      <c r="A135" s="26">
        <v>55</v>
      </c>
      <c r="B135" s="68" t="s">
        <v>190</v>
      </c>
      <c r="C135" s="27" t="s">
        <v>29</v>
      </c>
      <c r="D135" s="27"/>
      <c r="E135" s="33"/>
      <c r="F135" s="33"/>
      <c r="G135" s="29">
        <v>85300.800000000003</v>
      </c>
      <c r="H135" s="53"/>
      <c r="I135" s="54"/>
      <c r="J135" s="54"/>
      <c r="K135" s="54"/>
      <c r="L135" s="28"/>
      <c r="M135" s="54"/>
      <c r="N135" s="54"/>
      <c r="O135" s="54"/>
      <c r="P135" s="58"/>
      <c r="Q135" s="59"/>
      <c r="R135" s="54"/>
      <c r="S135" s="54"/>
      <c r="T135" s="28"/>
      <c r="U135" s="29"/>
      <c r="V135" s="29"/>
      <c r="W135" s="29"/>
      <c r="X135" s="29"/>
      <c r="Y135" s="29"/>
      <c r="Z135" s="33"/>
      <c r="AA135" s="28"/>
      <c r="AB135" s="29">
        <f>G135</f>
        <v>85300.800000000003</v>
      </c>
      <c r="AC135" s="29">
        <v>80182.750769999999</v>
      </c>
      <c r="AD135" s="29">
        <f>AB135-AC135</f>
        <v>5118.0492300000042</v>
      </c>
      <c r="AE135" s="29"/>
      <c r="AF135" s="28"/>
      <c r="AG135" s="29"/>
      <c r="AH135" s="52"/>
      <c r="AI135" s="52"/>
      <c r="AJ135" s="51"/>
      <c r="AK135" s="12"/>
      <c r="AL135" s="12"/>
    </row>
    <row r="136" spans="1:38" s="41" customFormat="1" ht="27" customHeight="1">
      <c r="A136" s="60"/>
      <c r="B136" s="50" t="s">
        <v>52</v>
      </c>
      <c r="C136" s="27"/>
      <c r="D136" s="27"/>
      <c r="E136" s="67">
        <f>T136+Z136</f>
        <v>14.13</v>
      </c>
      <c r="F136" s="33"/>
      <c r="G136" s="29">
        <f>V136+AB136</f>
        <v>256645.1</v>
      </c>
      <c r="H136" s="53"/>
      <c r="I136" s="54"/>
      <c r="J136" s="54"/>
      <c r="K136" s="54"/>
      <c r="L136" s="28"/>
      <c r="M136" s="54"/>
      <c r="N136" s="54"/>
      <c r="O136" s="54"/>
      <c r="P136" s="58"/>
      <c r="Q136" s="59"/>
      <c r="R136" s="54"/>
      <c r="S136" s="54"/>
      <c r="T136" s="29">
        <v>10.592000000000001</v>
      </c>
      <c r="U136" s="29"/>
      <c r="V136" s="29">
        <v>204675</v>
      </c>
      <c r="W136" s="29"/>
      <c r="X136" s="29">
        <f>V136</f>
        <v>204675</v>
      </c>
      <c r="Y136" s="29"/>
      <c r="Z136" s="67">
        <v>3.5379999999999998</v>
      </c>
      <c r="AA136" s="28"/>
      <c r="AB136" s="29">
        <v>51970.1</v>
      </c>
      <c r="AC136" s="28"/>
      <c r="AD136" s="29">
        <f>AB136</f>
        <v>51970.1</v>
      </c>
      <c r="AE136" s="29"/>
      <c r="AF136" s="29"/>
      <c r="AG136" s="29"/>
      <c r="AH136" s="52"/>
      <c r="AI136" s="29"/>
      <c r="AJ136" s="51"/>
      <c r="AK136" s="12" t="s">
        <v>115</v>
      </c>
      <c r="AL136" s="12"/>
    </row>
    <row r="137" spans="1:38" s="41" customFormat="1" ht="46.5" customHeight="1">
      <c r="A137" s="153" t="s">
        <v>131</v>
      </c>
      <c r="B137" s="153"/>
      <c r="C137" s="153"/>
      <c r="D137" s="30"/>
      <c r="E137" s="57">
        <f>SUM(E134:E136)</f>
        <v>22.450000000000003</v>
      </c>
      <c r="F137" s="57"/>
      <c r="G137" s="138">
        <f>SUM(G134:G136)</f>
        <v>545022.61727000005</v>
      </c>
      <c r="H137" s="57" t="e">
        <f>SUM(#REF!)</f>
        <v>#REF!</v>
      </c>
      <c r="I137" s="42" t="e">
        <f>SUM(#REF!)</f>
        <v>#REF!</v>
      </c>
      <c r="J137" s="42" t="e">
        <f>SUM(#REF!)</f>
        <v>#REF!</v>
      </c>
      <c r="K137" s="42"/>
      <c r="L137" s="57" t="e">
        <f>SUM(#REF!)</f>
        <v>#REF!</v>
      </c>
      <c r="M137" s="42" t="e">
        <f>SUM(#REF!)</f>
        <v>#REF!</v>
      </c>
      <c r="N137" s="42" t="e">
        <f>SUM(#REF!)</f>
        <v>#REF!</v>
      </c>
      <c r="O137" s="42" t="e">
        <f>SUM(#REF!)</f>
        <v>#REF!</v>
      </c>
      <c r="P137" s="74">
        <f>SUM(P134:P136)</f>
        <v>0</v>
      </c>
      <c r="Q137" s="42">
        <f>SUM(Q134:Q136)</f>
        <v>0</v>
      </c>
      <c r="R137" s="42">
        <f>SUM(R134:R136)</f>
        <v>0</v>
      </c>
      <c r="S137" s="138">
        <f>SUM(S134:S136)</f>
        <v>0</v>
      </c>
      <c r="T137" s="57">
        <f>SUM(T134:T136)</f>
        <v>18.911999999999999</v>
      </c>
      <c r="U137" s="138"/>
      <c r="V137" s="138">
        <f>SUM(V134:V136)</f>
        <v>407751.71727000002</v>
      </c>
      <c r="W137" s="138"/>
      <c r="X137" s="138">
        <f>SUM(X134:X136)</f>
        <v>407751.71727000002</v>
      </c>
      <c r="Y137" s="138"/>
      <c r="Z137" s="138">
        <f>SUM(Z136:Z136)</f>
        <v>3.5379999999999998</v>
      </c>
      <c r="AA137" s="57"/>
      <c r="AB137" s="138">
        <f>SUM(AB135:AB136)</f>
        <v>137270.9</v>
      </c>
      <c r="AC137" s="138">
        <f>SUM(AC135:AC136)</f>
        <v>80182.750769999999</v>
      </c>
      <c r="AD137" s="138">
        <f>SUM(AD135:AD136)</f>
        <v>57088.149230000003</v>
      </c>
      <c r="AE137" s="138"/>
      <c r="AF137" s="138">
        <f>SUM(AF135:AF136)</f>
        <v>0</v>
      </c>
      <c r="AG137" s="138" t="s">
        <v>62</v>
      </c>
      <c r="AH137" s="44">
        <f>SUM(AH135:AH136)</f>
        <v>0</v>
      </c>
      <c r="AI137" s="138">
        <f>SUM(AI135:AI136)</f>
        <v>0</v>
      </c>
      <c r="AJ137" s="25">
        <f>SUM(AJ135:AJ136)</f>
        <v>0</v>
      </c>
      <c r="AK137" s="48">
        <f>AH137+AB137+V137</f>
        <v>545022.61727000005</v>
      </c>
      <c r="AL137" s="12"/>
    </row>
    <row r="138" spans="1:38" s="41" customFormat="1" ht="27.75" customHeight="1">
      <c r="A138" s="146" t="s">
        <v>132</v>
      </c>
      <c r="B138" s="146"/>
      <c r="C138" s="152"/>
      <c r="D138" s="152"/>
      <c r="E138" s="152"/>
      <c r="F138" s="137"/>
      <c r="G138" s="138"/>
      <c r="H138" s="27"/>
      <c r="I138" s="27"/>
      <c r="J138" s="27"/>
      <c r="K138" s="27"/>
      <c r="L138" s="27"/>
      <c r="M138" s="27"/>
      <c r="N138" s="27"/>
      <c r="O138" s="27"/>
      <c r="P138" s="27"/>
      <c r="Q138" s="27"/>
      <c r="R138" s="27"/>
      <c r="S138" s="27"/>
      <c r="T138" s="27"/>
      <c r="U138" s="29"/>
      <c r="V138" s="29"/>
      <c r="W138" s="29"/>
      <c r="X138" s="29"/>
      <c r="Y138" s="29"/>
      <c r="Z138" s="29"/>
      <c r="AA138" s="27"/>
      <c r="AB138" s="29"/>
      <c r="AC138" s="29"/>
      <c r="AD138" s="29"/>
      <c r="AE138" s="29"/>
      <c r="AF138" s="29"/>
      <c r="AG138" s="29"/>
      <c r="AH138" s="52"/>
      <c r="AI138" s="29"/>
      <c r="AJ138" s="51"/>
      <c r="AK138" s="12"/>
      <c r="AL138" s="12"/>
    </row>
    <row r="139" spans="1:38" s="41" customFormat="1" ht="27.75" customHeight="1">
      <c r="A139" s="26">
        <v>56</v>
      </c>
      <c r="B139" s="68" t="s">
        <v>133</v>
      </c>
      <c r="C139" s="27" t="s">
        <v>29</v>
      </c>
      <c r="D139" s="27"/>
      <c r="E139" s="33">
        <v>3.23</v>
      </c>
      <c r="F139" s="29"/>
      <c r="G139" s="29">
        <v>85329.787089999998</v>
      </c>
      <c r="H139" s="27"/>
      <c r="I139" s="27"/>
      <c r="J139" s="27"/>
      <c r="K139" s="27"/>
      <c r="L139" s="27"/>
      <c r="M139" s="27"/>
      <c r="N139" s="27"/>
      <c r="O139" s="27"/>
      <c r="P139" s="27"/>
      <c r="Q139" s="27"/>
      <c r="R139" s="27"/>
      <c r="S139" s="27"/>
      <c r="T139" s="33">
        <f>E139</f>
        <v>3.23</v>
      </c>
      <c r="U139" s="29"/>
      <c r="V139" s="29">
        <f>G139</f>
        <v>85329.787089999998</v>
      </c>
      <c r="W139" s="29"/>
      <c r="X139" s="29">
        <f>V139</f>
        <v>85329.787089999998</v>
      </c>
      <c r="Y139" s="29"/>
      <c r="Z139" s="29"/>
      <c r="AA139" s="27"/>
      <c r="AB139" s="29"/>
      <c r="AC139" s="29"/>
      <c r="AD139" s="29"/>
      <c r="AE139" s="29"/>
      <c r="AF139" s="29"/>
      <c r="AG139" s="29"/>
      <c r="AH139" s="52"/>
      <c r="AI139" s="29"/>
      <c r="AJ139" s="51"/>
      <c r="AK139" s="12"/>
      <c r="AL139" s="12"/>
    </row>
    <row r="140" spans="1:38" s="41" customFormat="1" ht="42" customHeight="1">
      <c r="A140" s="26">
        <v>57</v>
      </c>
      <c r="B140" s="68" t="s">
        <v>134</v>
      </c>
      <c r="C140" s="27" t="s">
        <v>46</v>
      </c>
      <c r="D140" s="27"/>
      <c r="E140" s="33">
        <v>6.4</v>
      </c>
      <c r="F140" s="29"/>
      <c r="G140" s="29">
        <v>242590.80277000001</v>
      </c>
      <c r="H140" s="27"/>
      <c r="I140" s="27"/>
      <c r="J140" s="27"/>
      <c r="K140" s="27"/>
      <c r="L140" s="27"/>
      <c r="M140" s="27"/>
      <c r="N140" s="27"/>
      <c r="O140" s="27"/>
      <c r="P140" s="27"/>
      <c r="Q140" s="27"/>
      <c r="R140" s="27"/>
      <c r="S140" s="27"/>
      <c r="T140" s="33"/>
      <c r="U140" s="29"/>
      <c r="V140" s="29"/>
      <c r="W140" s="29"/>
      <c r="X140" s="29"/>
      <c r="Y140" s="29"/>
      <c r="Z140" s="29"/>
      <c r="AA140" s="27"/>
      <c r="AB140" s="29"/>
      <c r="AC140" s="29"/>
      <c r="AD140" s="29"/>
      <c r="AE140" s="29"/>
      <c r="AF140" s="28">
        <f>E140</f>
        <v>6.4</v>
      </c>
      <c r="AG140" s="29"/>
      <c r="AH140" s="52">
        <f>G140</f>
        <v>242590.80277000001</v>
      </c>
      <c r="AI140" s="29">
        <f t="shared" ref="AI140" si="19">AH140*0.879999983231406</f>
        <v>213479.90236969333</v>
      </c>
      <c r="AJ140" s="51">
        <f>AH140-AI140</f>
        <v>29110.90040030668</v>
      </c>
      <c r="AK140" s="12"/>
      <c r="AL140" s="12"/>
    </row>
    <row r="141" spans="1:38" s="41" customFormat="1" ht="27" customHeight="1">
      <c r="A141" s="60"/>
      <c r="B141" s="50" t="s">
        <v>52</v>
      </c>
      <c r="C141" s="27"/>
      <c r="D141" s="27"/>
      <c r="E141" s="67">
        <f>T141+Z141</f>
        <v>14.866</v>
      </c>
      <c r="F141" s="33"/>
      <c r="G141" s="29">
        <f>V141+AB141</f>
        <v>174458.2</v>
      </c>
      <c r="H141" s="53"/>
      <c r="I141" s="54"/>
      <c r="J141" s="54"/>
      <c r="K141" s="54"/>
      <c r="L141" s="58"/>
      <c r="M141" s="59"/>
      <c r="N141" s="54"/>
      <c r="O141" s="54"/>
      <c r="P141" s="28"/>
      <c r="Q141" s="54"/>
      <c r="R141" s="54"/>
      <c r="S141" s="54"/>
      <c r="T141" s="29">
        <v>10.202</v>
      </c>
      <c r="U141" s="29"/>
      <c r="V141" s="29">
        <v>132500</v>
      </c>
      <c r="W141" s="29"/>
      <c r="X141" s="29">
        <f>V141</f>
        <v>132500</v>
      </c>
      <c r="Y141" s="29"/>
      <c r="Z141" s="29">
        <v>4.6639999999999997</v>
      </c>
      <c r="AA141" s="73"/>
      <c r="AB141" s="29">
        <v>41958.2</v>
      </c>
      <c r="AC141" s="29"/>
      <c r="AD141" s="29">
        <f>AB141</f>
        <v>41958.2</v>
      </c>
      <c r="AE141" s="29"/>
      <c r="AF141" s="29"/>
      <c r="AG141" s="29"/>
      <c r="AH141" s="52"/>
      <c r="AI141" s="29"/>
      <c r="AJ141" s="51"/>
      <c r="AK141" s="12"/>
      <c r="AL141" s="12"/>
    </row>
    <row r="142" spans="1:38" s="41" customFormat="1" ht="50.25" customHeight="1">
      <c r="A142" s="153" t="s">
        <v>135</v>
      </c>
      <c r="B142" s="153"/>
      <c r="C142" s="153"/>
      <c r="D142" s="30"/>
      <c r="E142" s="138">
        <f>SUM(E139:E141)</f>
        <v>24.496000000000002</v>
      </c>
      <c r="F142" s="138"/>
      <c r="G142" s="138">
        <f>SUM(G139:G141)</f>
        <v>502378.78986000002</v>
      </c>
      <c r="H142" s="57" t="e">
        <f>SUM(#REF!)</f>
        <v>#REF!</v>
      </c>
      <c r="I142" s="42" t="e">
        <f>SUM(#REF!)</f>
        <v>#REF!</v>
      </c>
      <c r="J142" s="42" t="e">
        <f>SUM(#REF!)</f>
        <v>#REF!</v>
      </c>
      <c r="K142" s="42"/>
      <c r="L142" s="57" t="e">
        <f>SUM(#REF!)</f>
        <v>#REF!</v>
      </c>
      <c r="M142" s="42" t="e">
        <f>SUM(#REF!)</f>
        <v>#REF!</v>
      </c>
      <c r="N142" s="42" t="e">
        <f>SUM(#REF!)</f>
        <v>#REF!</v>
      </c>
      <c r="O142" s="42"/>
      <c r="P142" s="138" t="e">
        <f>SUM(#REF!)</f>
        <v>#REF!</v>
      </c>
      <c r="Q142" s="42" t="e">
        <f>SUM(#REF!)</f>
        <v>#REF!</v>
      </c>
      <c r="R142" s="42" t="e">
        <f>SUM(#REF!)</f>
        <v>#REF!</v>
      </c>
      <c r="S142" s="42"/>
      <c r="T142" s="138">
        <f>SUM(T139:T141)</f>
        <v>13.432</v>
      </c>
      <c r="U142" s="138"/>
      <c r="V142" s="138">
        <f>SUM(V139:V141)</f>
        <v>217829.78709</v>
      </c>
      <c r="W142" s="138">
        <f>SUM(W141:W141)</f>
        <v>0</v>
      </c>
      <c r="X142" s="138">
        <f>SUM(X139:X141)</f>
        <v>217829.78709</v>
      </c>
      <c r="Y142" s="138"/>
      <c r="Z142" s="138">
        <f>SUM(Z139:Z141)</f>
        <v>4.6639999999999997</v>
      </c>
      <c r="AA142" s="138"/>
      <c r="AB142" s="138">
        <f>SUM(AB139:AB141)</f>
        <v>41958.2</v>
      </c>
      <c r="AC142" s="138">
        <f>SUM(AC139:AC141)</f>
        <v>0</v>
      </c>
      <c r="AD142" s="138">
        <f>SUM(AD139:AD141)</f>
        <v>41958.2</v>
      </c>
      <c r="AE142" s="138"/>
      <c r="AF142" s="138">
        <f>SUM(AF140:AF141)</f>
        <v>6.4</v>
      </c>
      <c r="AG142" s="138"/>
      <c r="AH142" s="44">
        <f>SUM(AH140:AH141)</f>
        <v>242590.80277000001</v>
      </c>
      <c r="AI142" s="138">
        <f>SUM(AI140:AI141)</f>
        <v>213479.90236969333</v>
      </c>
      <c r="AJ142" s="25">
        <f>SUM(AJ140:AJ141)</f>
        <v>29110.90040030668</v>
      </c>
      <c r="AK142" s="48">
        <f>AH142+AB142+V142</f>
        <v>502378.78986000002</v>
      </c>
      <c r="AL142" s="12"/>
    </row>
    <row r="143" spans="1:38" s="41" customFormat="1" ht="27" hidden="1" customHeight="1">
      <c r="A143" s="135"/>
      <c r="B143" s="75" t="s">
        <v>136</v>
      </c>
      <c r="C143" s="73"/>
      <c r="D143" s="73"/>
      <c r="E143" s="53"/>
      <c r="F143" s="53"/>
      <c r="G143" s="29"/>
      <c r="H143" s="29"/>
      <c r="I143" s="54"/>
      <c r="J143" s="54"/>
      <c r="K143" s="54"/>
      <c r="L143" s="76"/>
      <c r="M143" s="54"/>
      <c r="N143" s="54"/>
      <c r="O143" s="54"/>
      <c r="P143" s="29"/>
      <c r="Q143" s="54"/>
      <c r="R143" s="54"/>
      <c r="S143" s="54"/>
      <c r="T143" s="28"/>
      <c r="U143" s="64"/>
      <c r="V143" s="29"/>
      <c r="W143" s="29"/>
      <c r="X143" s="29"/>
      <c r="Y143" s="29"/>
      <c r="Z143" s="54"/>
      <c r="AA143" s="29"/>
      <c r="AB143" s="64"/>
      <c r="AC143" s="64"/>
      <c r="AD143" s="64"/>
      <c r="AE143" s="64"/>
      <c r="AF143" s="64"/>
      <c r="AG143" s="54"/>
      <c r="AH143" s="77"/>
      <c r="AI143" s="54"/>
      <c r="AJ143" s="78"/>
    </row>
    <row r="144" spans="1:38" s="41" customFormat="1" ht="29.25" hidden="1" customHeight="1">
      <c r="A144" s="135"/>
      <c r="B144" s="50" t="s">
        <v>52</v>
      </c>
      <c r="C144" s="73"/>
      <c r="D144" s="73"/>
      <c r="E144" s="33"/>
      <c r="F144" s="33"/>
      <c r="G144" s="29"/>
      <c r="H144" s="29"/>
      <c r="I144" s="54"/>
      <c r="J144" s="54"/>
      <c r="K144" s="54"/>
      <c r="L144" s="76"/>
      <c r="M144" s="54"/>
      <c r="N144" s="54"/>
      <c r="O144" s="54"/>
      <c r="P144" s="29"/>
      <c r="Q144" s="54"/>
      <c r="R144" s="54"/>
      <c r="S144" s="54"/>
      <c r="T144" s="28"/>
      <c r="U144" s="64"/>
      <c r="V144" s="29"/>
      <c r="W144" s="29"/>
      <c r="X144" s="29"/>
      <c r="Y144" s="29"/>
      <c r="Z144" s="54"/>
      <c r="AA144" s="29"/>
      <c r="AB144" s="64"/>
      <c r="AC144" s="64"/>
      <c r="AD144" s="64"/>
      <c r="AE144" s="64"/>
      <c r="AF144" s="64"/>
      <c r="AG144" s="54"/>
      <c r="AH144" s="77"/>
      <c r="AI144" s="54"/>
      <c r="AJ144" s="78"/>
    </row>
    <row r="145" spans="1:39" s="41" customFormat="1" ht="34.5" hidden="1" customHeight="1">
      <c r="A145" s="149" t="s">
        <v>137</v>
      </c>
      <c r="B145" s="149"/>
      <c r="C145" s="149"/>
      <c r="D145" s="73"/>
      <c r="E145" s="79">
        <f>SUM(E144)</f>
        <v>0</v>
      </c>
      <c r="F145" s="79"/>
      <c r="G145" s="138">
        <f>SUM(G144)</f>
        <v>0</v>
      </c>
      <c r="H145" s="29"/>
      <c r="I145" s="54"/>
      <c r="J145" s="54"/>
      <c r="K145" s="54"/>
      <c r="L145" s="76"/>
      <c r="M145" s="54"/>
      <c r="N145" s="54"/>
      <c r="O145" s="54"/>
      <c r="P145" s="29"/>
      <c r="Q145" s="54"/>
      <c r="R145" s="54"/>
      <c r="S145" s="54"/>
      <c r="T145" s="80">
        <f>SUM(T144)</f>
        <v>0</v>
      </c>
      <c r="U145" s="79"/>
      <c r="V145" s="138">
        <f>SUM(V144)</f>
        <v>0</v>
      </c>
      <c r="W145" s="64"/>
      <c r="X145" s="138">
        <f>SUM(X144)</f>
        <v>0</v>
      </c>
      <c r="Y145" s="138"/>
      <c r="Z145" s="54"/>
      <c r="AA145" s="29"/>
      <c r="AB145" s="64"/>
      <c r="AC145" s="64"/>
      <c r="AD145" s="64"/>
      <c r="AE145" s="64"/>
      <c r="AF145" s="64"/>
      <c r="AG145" s="54"/>
      <c r="AH145" s="77"/>
      <c r="AI145" s="54"/>
      <c r="AJ145" s="78"/>
    </row>
    <row r="146" spans="1:39" s="41" customFormat="1" ht="25.5" customHeight="1">
      <c r="A146" s="135"/>
      <c r="B146" s="50" t="s">
        <v>138</v>
      </c>
      <c r="C146" s="73"/>
      <c r="D146" s="73"/>
      <c r="E146" s="53"/>
      <c r="F146" s="53"/>
      <c r="G146" s="29">
        <f>V146+AB146</f>
        <v>3.1999999999534339</v>
      </c>
      <c r="H146" s="29"/>
      <c r="I146" s="54"/>
      <c r="J146" s="54"/>
      <c r="K146" s="54"/>
      <c r="L146" s="76"/>
      <c r="M146" s="54"/>
      <c r="N146" s="54"/>
      <c r="O146" s="54"/>
      <c r="P146" s="29"/>
      <c r="Q146" s="54"/>
      <c r="R146" s="54"/>
      <c r="S146" s="54"/>
      <c r="T146" s="28"/>
      <c r="U146" s="64"/>
      <c r="V146" s="29">
        <f>W146+X146</f>
        <v>3.1999999999534339</v>
      </c>
      <c r="W146" s="29">
        <f>1756093.2-1756090</f>
        <v>3.1999999999534339</v>
      </c>
      <c r="X146" s="29"/>
      <c r="Y146" s="29"/>
      <c r="Z146" s="54"/>
      <c r="AA146" s="29"/>
      <c r="AB146" s="29"/>
      <c r="AC146" s="29"/>
      <c r="AD146" s="29"/>
      <c r="AE146" s="64"/>
      <c r="AF146" s="64"/>
      <c r="AG146" s="54"/>
      <c r="AH146" s="77"/>
      <c r="AI146" s="54"/>
      <c r="AJ146" s="78"/>
    </row>
    <row r="147" spans="1:39" s="82" customFormat="1" ht="39.75" hidden="1" customHeight="1">
      <c r="A147" s="81"/>
      <c r="B147" s="150" t="s">
        <v>25</v>
      </c>
      <c r="C147" s="150"/>
      <c r="D147" s="150"/>
      <c r="E147" s="150"/>
      <c r="F147" s="150"/>
      <c r="G147" s="150"/>
      <c r="H147" s="150"/>
      <c r="I147" s="150"/>
      <c r="J147" s="150"/>
      <c r="K147" s="150"/>
      <c r="L147" s="150"/>
      <c r="M147" s="150"/>
      <c r="N147" s="150"/>
      <c r="O147" s="150"/>
      <c r="P147" s="150"/>
      <c r="Q147" s="150"/>
      <c r="R147" s="150"/>
      <c r="S147" s="150"/>
      <c r="T147" s="150"/>
      <c r="U147" s="15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/>
      <c r="AF147" s="150"/>
      <c r="AG147" s="150"/>
      <c r="AH147" s="150"/>
      <c r="AI147" s="22"/>
      <c r="AJ147" s="23"/>
    </row>
    <row r="148" spans="1:39" s="82" customFormat="1" ht="54.75" customHeight="1">
      <c r="A148" s="83">
        <v>3</v>
      </c>
      <c r="B148" s="49" t="s">
        <v>139</v>
      </c>
      <c r="C148" s="35"/>
      <c r="D148" s="22"/>
      <c r="E148" s="22"/>
      <c r="F148" s="84">
        <f>SUM(F158:F197)</f>
        <v>1622.0700000000004</v>
      </c>
      <c r="G148" s="84">
        <f>SUM(G158:G197)</f>
        <v>1736944.7767499997</v>
      </c>
      <c r="H148" s="84" t="e">
        <f>H158+#REF!+H167+H168+H180+H187+H188+H189+H190+H191+H195+H197</f>
        <v>#REF!</v>
      </c>
      <c r="I148" s="84" t="e">
        <f>I158+#REF!+I167+I168+I180+I187+I188+I189+I190+I191+I195+I197</f>
        <v>#REF!</v>
      </c>
      <c r="J148" s="84" t="e">
        <f>J158+#REF!+J167+J168+J180+J187+J188+J189+J190+J191+J195+J197</f>
        <v>#REF!</v>
      </c>
      <c r="K148" s="84" t="e">
        <f>K158+#REF!+K167+K168+K180+K187+K188+K189+K190+K191+K195+K197</f>
        <v>#REF!</v>
      </c>
      <c r="L148" s="84" t="e">
        <f>L158+#REF!+L167+L168+L180+L187+L188+L189+L190+L191+L195+L197</f>
        <v>#REF!</v>
      </c>
      <c r="M148" s="84" t="e">
        <f>M158+#REF!+M167+M168+M180+M187+M188+M189+M190+M191+M195+M197</f>
        <v>#REF!</v>
      </c>
      <c r="N148" s="84" t="e">
        <f>N158+#REF!+N167+N168+N180+N187+N188+N189+N190+N191+N195+N197</f>
        <v>#REF!</v>
      </c>
      <c r="O148" s="84" t="e">
        <f>O158+#REF!+O167+O168+O180+O187+O188+O189+O190+O191+O195+O197</f>
        <v>#REF!</v>
      </c>
      <c r="P148" s="84" t="e">
        <f>P158+#REF!+P167+P168+P180+P187+P188+P189+P190+P191+P195+P197</f>
        <v>#REF!</v>
      </c>
      <c r="Q148" s="84" t="e">
        <f>Q158+#REF!+Q167+Q168+Q180+Q187+Q188+Q189+Q190+Q191+Q195+Q197</f>
        <v>#REF!</v>
      </c>
      <c r="R148" s="84" t="e">
        <f>R158+#REF!+R167+R168+R180+R187+R188+R189+R190+R191+R195+R197</f>
        <v>#REF!</v>
      </c>
      <c r="S148" s="84" t="e">
        <f>S158+#REF!+S167+S168+S180+S187+S188+S189+S190+S191+S195+S197</f>
        <v>#REF!</v>
      </c>
      <c r="T148" s="84"/>
      <c r="U148" s="84">
        <f>U167+U168+U180+U187+U188+U189+U190+U191+U195+U197</f>
        <v>833.83999999999992</v>
      </c>
      <c r="V148" s="84">
        <f>V164+V167+V168+V173+V180+V187+V188+V189+V190+V191+V195+V197</f>
        <v>653310.36275000009</v>
      </c>
      <c r="W148" s="84"/>
      <c r="X148" s="84">
        <f>X164+X167+X168+X173+X180+X187+X188+X189+X190+X191+X195+X197+0.03</f>
        <v>634714.25479000004</v>
      </c>
      <c r="Y148" s="84">
        <f>Y164+Y167+Y168+Y173+Y180+Y187+Y188+Y189+Y190+Y191+Y195+Y197</f>
        <v>18596.137960000011</v>
      </c>
      <c r="Z148" s="84"/>
      <c r="AA148" s="129">
        <f>AA158+AA164+AA165+AA169+AA171+AA173+AA176+AA178+AA181+AA183+AA185</f>
        <v>788.23</v>
      </c>
      <c r="AB148" s="84">
        <f>AB158+AB164+AB165+AB169+AB171+AB173+AB176+AB178+AB181+AB183+AB185</f>
        <v>872909.81400000001</v>
      </c>
      <c r="AC148" s="84"/>
      <c r="AD148" s="84">
        <f>AD158+AD164+AD165+AD169+AD171+AD173+AD176+AD178+AD181+AD183+AD185</f>
        <v>845309.41716000007</v>
      </c>
      <c r="AE148" s="84">
        <f>AE158+AE164+AE165+AE169+AE173+AE176+AE178+AE181+AE183+AE185</f>
        <v>27600.396840000001</v>
      </c>
      <c r="AF148" s="22"/>
      <c r="AG148" s="84"/>
      <c r="AH148" s="84"/>
      <c r="AI148" s="35"/>
      <c r="AJ148" s="85">
        <f>AJ159+AJ161+AJ162+AJ192+AJ193</f>
        <v>0</v>
      </c>
      <c r="AK148" s="86"/>
      <c r="AL148" s="86"/>
    </row>
    <row r="149" spans="1:39" s="82" customFormat="1" ht="21.75" customHeight="1">
      <c r="A149" s="36"/>
      <c r="B149" s="144" t="s">
        <v>18</v>
      </c>
      <c r="C149" s="35"/>
      <c r="D149" s="22"/>
      <c r="E149" s="22"/>
      <c r="F149" s="35"/>
      <c r="G149" s="35"/>
      <c r="H149" s="22"/>
      <c r="I149" s="22"/>
      <c r="J149" s="22"/>
      <c r="K149" s="22"/>
      <c r="L149" s="22"/>
      <c r="M149" s="22"/>
      <c r="N149" s="22"/>
      <c r="O149" s="22"/>
      <c r="P149" s="22"/>
      <c r="Q149" s="22"/>
      <c r="R149" s="22"/>
      <c r="S149" s="22"/>
      <c r="T149" s="22"/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F149" s="22"/>
      <c r="AG149" s="22"/>
      <c r="AH149" s="136"/>
      <c r="AI149" s="22"/>
      <c r="AJ149" s="23"/>
    </row>
    <row r="150" spans="1:39" s="82" customFormat="1" ht="30" customHeight="1">
      <c r="A150" s="36"/>
      <c r="B150" s="49" t="s">
        <v>140</v>
      </c>
      <c r="C150" s="35"/>
      <c r="D150" s="22"/>
      <c r="E150" s="35"/>
      <c r="F150" s="84">
        <f>F159+F161+F162+F168+F164+F165+F169+F171+F173+F174+F176+F178+F180+F181+F185+F188+F189+F190+F191+F192+F193+F195</f>
        <v>1063.76</v>
      </c>
      <c r="G150" s="84">
        <f>G159+G161+G162+G168+G164+G165+G169+G171+G173+G174+G176+G178+G180+G181+G185+G188+G189+G190+G191+G192+G193+G195</f>
        <v>898351.11716000014</v>
      </c>
      <c r="H150" s="84" t="e">
        <f>#REF!+H168+H180+H188+H189+H190+H191+H195</f>
        <v>#REF!</v>
      </c>
      <c r="I150" s="84" t="e">
        <f>#REF!+I168+I180+I188+I189+I190+I191+I195</f>
        <v>#REF!</v>
      </c>
      <c r="J150" s="84" t="e">
        <f>#REF!+J168+J180+J188+J189+J190+J191+J195</f>
        <v>#REF!</v>
      </c>
      <c r="K150" s="84" t="e">
        <f>#REF!+K168+K180+K188+K189+K190+K191+K195</f>
        <v>#REF!</v>
      </c>
      <c r="L150" s="84" t="e">
        <f>#REF!+L168+L180+L188+L189+L190+L191+L195</f>
        <v>#REF!</v>
      </c>
      <c r="M150" s="84" t="e">
        <f>#REF!+M168+M180+M188+M189+M190+M191+M195</f>
        <v>#REF!</v>
      </c>
      <c r="N150" s="84" t="e">
        <f>#REF!+N168+N180+N188+N189+N190+N191+N195</f>
        <v>#REF!</v>
      </c>
      <c r="O150" s="84" t="e">
        <f>#REF!+O168+O180+O188+O189+O190+O191+O195</f>
        <v>#REF!</v>
      </c>
      <c r="P150" s="84" t="e">
        <f>#REF!+P168+P180+P188+P189+P190+P191+P195</f>
        <v>#REF!</v>
      </c>
      <c r="Q150" s="84" t="e">
        <f>#REF!+Q168+Q180+Q188+Q189+Q190+Q191+Q195</f>
        <v>#REF!</v>
      </c>
      <c r="R150" s="84" t="e">
        <f>#REF!+R168+R180+R188+R189+R190+R191+R195</f>
        <v>#REF!</v>
      </c>
      <c r="S150" s="84" t="e">
        <f>#REF!+S168+S180+S188+S189+S190+S191+S195</f>
        <v>#REF!</v>
      </c>
      <c r="T150" s="84"/>
      <c r="U150" s="84">
        <f>U168+U180+U188+U189+U190+U191+U195</f>
        <v>565.01</v>
      </c>
      <c r="V150" s="84">
        <f>V164+V168+V173+V180+V188+V189+V190+V191+V195+0.04</f>
        <v>368535.95716000005</v>
      </c>
      <c r="W150" s="84"/>
      <c r="X150" s="84">
        <f>X164+X168+X173+X180+X188+X189+X190+X191+X195+0.04</f>
        <v>368535.95716000005</v>
      </c>
      <c r="Y150" s="84"/>
      <c r="Z150" s="84"/>
      <c r="AA150" s="129">
        <f>AA164+AA165+AA169+AA171+AA173+AA176+AA178+AA181+AA185</f>
        <v>498.74999999999994</v>
      </c>
      <c r="AB150" s="84">
        <f>AB164+AB165+AB169+AB171+AB173+AB176+AB178+AB181+AB185</f>
        <v>412903.2</v>
      </c>
      <c r="AC150" s="84"/>
      <c r="AD150" s="84">
        <f>AD164+AD165+AD169+AD171+AD173+AD176+AD178+AD181+AD185</f>
        <v>412903.2</v>
      </c>
      <c r="AE150" s="84"/>
      <c r="AF150" s="22"/>
      <c r="AG150" s="84"/>
      <c r="AH150" s="84"/>
      <c r="AI150" s="22"/>
      <c r="AJ150" s="85">
        <f>SUM(AJ151:AJ153)</f>
        <v>0</v>
      </c>
      <c r="AK150" s="86">
        <f>AH148+AB148+V148</f>
        <v>1526220.1767500001</v>
      </c>
      <c r="AL150" s="86">
        <f>G148-AK150</f>
        <v>210724.59999999963</v>
      </c>
      <c r="AM150" s="82" t="s">
        <v>141</v>
      </c>
    </row>
    <row r="151" spans="1:39" s="82" customFormat="1" ht="32.25" hidden="1" customHeight="1">
      <c r="A151" s="36"/>
      <c r="B151" s="87" t="s">
        <v>142</v>
      </c>
      <c r="C151" s="35"/>
      <c r="D151" s="22"/>
      <c r="E151" s="35"/>
      <c r="F151" s="88">
        <f>F159</f>
        <v>0</v>
      </c>
      <c r="G151" s="88">
        <f>G159</f>
        <v>0</v>
      </c>
      <c r="H151" s="84"/>
      <c r="I151" s="84"/>
      <c r="J151" s="84"/>
      <c r="K151" s="84"/>
      <c r="L151" s="84"/>
      <c r="M151" s="84"/>
      <c r="N151" s="84"/>
      <c r="O151" s="84"/>
      <c r="P151" s="84"/>
      <c r="Q151" s="84"/>
      <c r="R151" s="84"/>
      <c r="S151" s="84"/>
      <c r="T151" s="84"/>
      <c r="U151" s="84"/>
      <c r="V151" s="84"/>
      <c r="W151" s="84"/>
      <c r="X151" s="84"/>
      <c r="Y151" s="84"/>
      <c r="Z151" s="84"/>
      <c r="AA151" s="84"/>
      <c r="AB151" s="84"/>
      <c r="AC151" s="84"/>
      <c r="AD151" s="84"/>
      <c r="AE151" s="84"/>
      <c r="AF151" s="22"/>
      <c r="AG151" s="88"/>
      <c r="AH151" s="88"/>
      <c r="AI151" s="84"/>
      <c r="AJ151" s="89">
        <f>AJ159</f>
        <v>0</v>
      </c>
      <c r="AK151" s="86"/>
      <c r="AL151" s="86"/>
    </row>
    <row r="152" spans="1:39" s="82" customFormat="1" ht="28.5" customHeight="1">
      <c r="A152" s="36"/>
      <c r="B152" s="87" t="s">
        <v>143</v>
      </c>
      <c r="C152" s="22"/>
      <c r="D152" s="22"/>
      <c r="E152" s="35"/>
      <c r="F152" s="88">
        <f>F161+F164+F173+F192</f>
        <v>145.25</v>
      </c>
      <c r="G152" s="88">
        <f>G161+G164+G173+G192</f>
        <v>347480.56552</v>
      </c>
      <c r="H152" s="84"/>
      <c r="I152" s="84"/>
      <c r="J152" s="84"/>
      <c r="K152" s="84"/>
      <c r="L152" s="84"/>
      <c r="M152" s="84"/>
      <c r="N152" s="84"/>
      <c r="O152" s="84"/>
      <c r="P152" s="84"/>
      <c r="Q152" s="84"/>
      <c r="R152" s="84"/>
      <c r="S152" s="84"/>
      <c r="T152" s="84"/>
      <c r="U152" s="88"/>
      <c r="V152" s="88">
        <f>V164+V173</f>
        <v>64999.971890000001</v>
      </c>
      <c r="W152" s="84"/>
      <c r="X152" s="88">
        <f>X164+X173</f>
        <v>64999.971890000001</v>
      </c>
      <c r="Y152" s="84"/>
      <c r="Z152" s="84"/>
      <c r="AA152" s="88">
        <f>AA164+AA173</f>
        <v>145.25</v>
      </c>
      <c r="AB152" s="88">
        <f>AB164+AB173</f>
        <v>282480.59363000002</v>
      </c>
      <c r="AC152" s="84"/>
      <c r="AD152" s="88">
        <f>AD164+AD173</f>
        <v>282480.59363000002</v>
      </c>
      <c r="AE152" s="88"/>
      <c r="AF152" s="22"/>
      <c r="AG152" s="88"/>
      <c r="AH152" s="88"/>
      <c r="AI152" s="84"/>
      <c r="AJ152" s="89">
        <f>AJ161+AJ192</f>
        <v>0</v>
      </c>
      <c r="AL152" s="90">
        <f>SUM(AL153:AL154)</f>
        <v>210724.62988000002</v>
      </c>
    </row>
    <row r="153" spans="1:39" s="82" customFormat="1" ht="27.75" customHeight="1">
      <c r="A153" s="36"/>
      <c r="B153" s="87" t="s">
        <v>144</v>
      </c>
      <c r="C153" s="35"/>
      <c r="D153" s="22"/>
      <c r="E153" s="35"/>
      <c r="F153" s="88">
        <f>F150-F151-F152</f>
        <v>918.51</v>
      </c>
      <c r="G153" s="88">
        <f>G150-G151-G152</f>
        <v>550870.55164000019</v>
      </c>
      <c r="H153" s="84"/>
      <c r="I153" s="84"/>
      <c r="J153" s="84"/>
      <c r="K153" s="84"/>
      <c r="L153" s="84"/>
      <c r="M153" s="84"/>
      <c r="N153" s="84"/>
      <c r="O153" s="84"/>
      <c r="P153" s="84"/>
      <c r="Q153" s="84"/>
      <c r="R153" s="84"/>
      <c r="S153" s="84"/>
      <c r="T153" s="84"/>
      <c r="U153" s="88">
        <f>U150-U152</f>
        <v>565.01</v>
      </c>
      <c r="V153" s="88">
        <f>V150-V152</f>
        <v>303535.98527000006</v>
      </c>
      <c r="W153" s="84"/>
      <c r="X153" s="88">
        <f>X150-X152</f>
        <v>303535.98527000006</v>
      </c>
      <c r="Y153" s="84"/>
      <c r="Z153" s="84"/>
      <c r="AA153" s="88">
        <f>AA150-AA152</f>
        <v>353.49999999999994</v>
      </c>
      <c r="AB153" s="88">
        <f>AB150-AB152</f>
        <v>130422.60636999999</v>
      </c>
      <c r="AC153" s="84"/>
      <c r="AD153" s="88">
        <f>AD150-AD152</f>
        <v>130422.60636999999</v>
      </c>
      <c r="AE153" s="84"/>
      <c r="AF153" s="22"/>
      <c r="AG153" s="88"/>
      <c r="AH153" s="88"/>
      <c r="AI153" s="22"/>
      <c r="AJ153" s="89">
        <f>AJ162+AJ193</f>
        <v>0</v>
      </c>
      <c r="AL153" s="86">
        <f>AK188+AK189+AK190+AK191+AK195</f>
        <v>116912</v>
      </c>
    </row>
    <row r="154" spans="1:39" s="82" customFormat="1" ht="30" customHeight="1">
      <c r="A154" s="36"/>
      <c r="B154" s="49" t="s">
        <v>145</v>
      </c>
      <c r="C154" s="35"/>
      <c r="D154" s="22"/>
      <c r="E154" s="35"/>
      <c r="F154" s="84">
        <f>F158+F167+F183+F187+F197</f>
        <v>558.30999999999995</v>
      </c>
      <c r="G154" s="84">
        <f>G158+G167+G183+G187+G197</f>
        <v>838593.65959000005</v>
      </c>
      <c r="H154" s="91"/>
      <c r="I154" s="91"/>
      <c r="J154" s="91"/>
      <c r="K154" s="91"/>
      <c r="L154" s="91"/>
      <c r="M154" s="91"/>
      <c r="N154" s="91"/>
      <c r="O154" s="91"/>
      <c r="P154" s="91"/>
      <c r="Q154" s="91"/>
      <c r="R154" s="91"/>
      <c r="S154" s="91"/>
      <c r="T154" s="91"/>
      <c r="U154" s="84">
        <f>U167+U187+U197</f>
        <v>268.83000000000004</v>
      </c>
      <c r="V154" s="84">
        <f>V167+V187+V197</f>
        <v>284774.44559000002</v>
      </c>
      <c r="W154" s="84"/>
      <c r="X154" s="84">
        <f>X167+X187+X197</f>
        <v>266178.30763</v>
      </c>
      <c r="Y154" s="84">
        <f>Y167+Y187+Y197</f>
        <v>18596.137960000011</v>
      </c>
      <c r="Z154" s="22"/>
      <c r="AA154" s="129">
        <f>AA158+AA183</f>
        <v>289.48</v>
      </c>
      <c r="AB154" s="84">
        <f>AB158+AB183</f>
        <v>460006.614</v>
      </c>
      <c r="AC154" s="84"/>
      <c r="AD154" s="84">
        <f>AD158+AD183</f>
        <v>432406.21716</v>
      </c>
      <c r="AE154" s="84">
        <f>SUM(AE158:AE197)</f>
        <v>27600.396840000001</v>
      </c>
      <c r="AF154" s="22"/>
      <c r="AG154" s="35"/>
      <c r="AH154" s="136"/>
      <c r="AI154" s="22"/>
      <c r="AJ154" s="23"/>
      <c r="AK154" s="86">
        <f>AB154+V154</f>
        <v>744781.05958999996</v>
      </c>
      <c r="AL154" s="86">
        <f>AL155+AL156</f>
        <v>93812.629880000037</v>
      </c>
      <c r="AM154" s="82" t="s">
        <v>141</v>
      </c>
    </row>
    <row r="155" spans="1:39" s="82" customFormat="1" ht="28.5" customHeight="1">
      <c r="A155" s="36"/>
      <c r="B155" s="87" t="s">
        <v>143</v>
      </c>
      <c r="C155" s="35"/>
      <c r="D155" s="22"/>
      <c r="E155" s="35"/>
      <c r="F155" s="88">
        <f>F167+ F183</f>
        <v>336.96000000000004</v>
      </c>
      <c r="G155" s="88">
        <f>G167+ G183</f>
        <v>521559.9</v>
      </c>
      <c r="H155" s="91"/>
      <c r="I155" s="91"/>
      <c r="J155" s="91"/>
      <c r="K155" s="91"/>
      <c r="L155" s="91"/>
      <c r="M155" s="91"/>
      <c r="N155" s="91"/>
      <c r="O155" s="91"/>
      <c r="P155" s="91"/>
      <c r="Q155" s="91"/>
      <c r="R155" s="91"/>
      <c r="S155" s="91"/>
      <c r="T155" s="91"/>
      <c r="U155" s="88">
        <f>U167</f>
        <v>120.68</v>
      </c>
      <c r="V155" s="88">
        <f>V167</f>
        <v>105208.8</v>
      </c>
      <c r="W155" s="84"/>
      <c r="X155" s="88">
        <f>X167</f>
        <v>98896.3</v>
      </c>
      <c r="Y155" s="88">
        <f>Y167</f>
        <v>6312.5</v>
      </c>
      <c r="Z155" s="22"/>
      <c r="AA155" s="88">
        <f>AA167+ AA183</f>
        <v>216.28</v>
      </c>
      <c r="AB155" s="88">
        <f>AB167+ AB183</f>
        <v>375000</v>
      </c>
      <c r="AC155" s="84"/>
      <c r="AD155" s="88">
        <f>AD167+ AD183</f>
        <v>352500</v>
      </c>
      <c r="AE155" s="88">
        <f>AE167+ AE183</f>
        <v>22500</v>
      </c>
      <c r="AF155" s="22"/>
      <c r="AG155" s="35"/>
      <c r="AH155" s="136"/>
      <c r="AI155" s="22"/>
      <c r="AJ155" s="23"/>
      <c r="AK155" s="86">
        <f>AB155+V155</f>
        <v>480208.8</v>
      </c>
      <c r="AL155" s="86">
        <f>G155-AK155</f>
        <v>41351.100000000035</v>
      </c>
    </row>
    <row r="156" spans="1:39" s="82" customFormat="1" ht="30" customHeight="1">
      <c r="A156" s="36"/>
      <c r="B156" s="87" t="s">
        <v>144</v>
      </c>
      <c r="C156" s="35"/>
      <c r="D156" s="22"/>
      <c r="E156" s="35"/>
      <c r="F156" s="88">
        <f>F154-F155</f>
        <v>221.34999999999991</v>
      </c>
      <c r="G156" s="88">
        <f>G154-G155</f>
        <v>317033.75959000003</v>
      </c>
      <c r="H156" s="91"/>
      <c r="I156" s="91"/>
      <c r="J156" s="91"/>
      <c r="K156" s="91"/>
      <c r="L156" s="91"/>
      <c r="M156" s="91"/>
      <c r="N156" s="91"/>
      <c r="O156" s="91"/>
      <c r="P156" s="91"/>
      <c r="Q156" s="91"/>
      <c r="R156" s="91"/>
      <c r="S156" s="91"/>
      <c r="T156" s="91"/>
      <c r="U156" s="88">
        <f>U154-U155</f>
        <v>148.15000000000003</v>
      </c>
      <c r="V156" s="88">
        <f>V154-V155</f>
        <v>179565.64559000003</v>
      </c>
      <c r="W156" s="84"/>
      <c r="X156" s="88">
        <f>X154-X155</f>
        <v>167282.00763000001</v>
      </c>
      <c r="Y156" s="88">
        <f>Y154-Y155</f>
        <v>12283.637960000011</v>
      </c>
      <c r="Z156" s="22"/>
      <c r="AA156" s="88">
        <f>AA154-AA155</f>
        <v>73.200000000000017</v>
      </c>
      <c r="AB156" s="88">
        <f>AB154-AB155</f>
        <v>85006.614000000001</v>
      </c>
      <c r="AC156" s="84"/>
      <c r="AD156" s="88">
        <f>AD154-AD155</f>
        <v>79906.21716</v>
      </c>
      <c r="AE156" s="88">
        <f>AE154-AE155</f>
        <v>5100.3968400000012</v>
      </c>
      <c r="AF156" s="22"/>
      <c r="AG156" s="35"/>
      <c r="AH156" s="136"/>
      <c r="AI156" s="22"/>
      <c r="AJ156" s="23"/>
      <c r="AK156" s="86">
        <f>AB156+V156</f>
        <v>264572.25959000003</v>
      </c>
      <c r="AL156" s="86">
        <f>AK187+AK197</f>
        <v>52461.529880000002</v>
      </c>
    </row>
    <row r="157" spans="1:39" s="82" customFormat="1" ht="33" customHeight="1">
      <c r="A157" s="146" t="s">
        <v>27</v>
      </c>
      <c r="B157" s="146"/>
      <c r="C157" s="22"/>
      <c r="D157" s="22"/>
      <c r="E157" s="22"/>
      <c r="F157" s="22"/>
      <c r="G157" s="138"/>
      <c r="H157" s="22"/>
      <c r="I157" s="22"/>
      <c r="J157" s="22"/>
      <c r="K157" s="22"/>
      <c r="L157" s="22"/>
      <c r="M157" s="22"/>
      <c r="N157" s="22"/>
      <c r="O157" s="22"/>
      <c r="P157" s="22"/>
      <c r="Q157" s="22"/>
      <c r="R157" s="22"/>
      <c r="S157" s="22"/>
      <c r="T157" s="22"/>
      <c r="U157" s="22"/>
      <c r="V157" s="138"/>
      <c r="W157" s="138"/>
      <c r="X157" s="138"/>
      <c r="Y157" s="138"/>
      <c r="Z157" s="22"/>
      <c r="AA157" s="42"/>
      <c r="AB157" s="138"/>
      <c r="AC157" s="138"/>
      <c r="AD157" s="138"/>
      <c r="AE157" s="138"/>
      <c r="AF157" s="22"/>
      <c r="AG157" s="22"/>
      <c r="AH157" s="136"/>
      <c r="AI157" s="22"/>
      <c r="AJ157" s="23"/>
    </row>
    <row r="158" spans="1:39" s="82" customFormat="1" ht="81.75" customHeight="1">
      <c r="A158" s="26">
        <v>1</v>
      </c>
      <c r="B158" s="65" t="s">
        <v>146</v>
      </c>
      <c r="C158" s="22"/>
      <c r="D158" s="22"/>
      <c r="E158" s="22"/>
      <c r="F158" s="29">
        <v>73.2</v>
      </c>
      <c r="G158" s="29">
        <v>85006.614000000001</v>
      </c>
      <c r="H158" s="22"/>
      <c r="I158" s="22"/>
      <c r="J158" s="22"/>
      <c r="K158" s="22"/>
      <c r="L158" s="22"/>
      <c r="M158" s="22"/>
      <c r="N158" s="22"/>
      <c r="O158" s="22"/>
      <c r="P158" s="22"/>
      <c r="Q158" s="22"/>
      <c r="R158" s="22"/>
      <c r="S158" s="22"/>
      <c r="T158" s="22"/>
      <c r="U158" s="22"/>
      <c r="V158" s="138"/>
      <c r="W158" s="138"/>
      <c r="X158" s="138"/>
      <c r="Y158" s="138"/>
      <c r="Z158" s="22"/>
      <c r="AA158" s="29">
        <f>F158</f>
        <v>73.2</v>
      </c>
      <c r="AB158" s="29">
        <v>85006.614000000001</v>
      </c>
      <c r="AC158" s="138"/>
      <c r="AD158" s="29">
        <f>AB158-AE158</f>
        <v>79906.21716</v>
      </c>
      <c r="AE158" s="29">
        <f>AB158*0.06</f>
        <v>5100.3968400000003</v>
      </c>
      <c r="AF158" s="22"/>
      <c r="AG158" s="22"/>
      <c r="AH158" s="136"/>
      <c r="AI158" s="22"/>
      <c r="AJ158" s="23"/>
    </row>
    <row r="159" spans="1:39" s="82" customFormat="1" ht="113.25" hidden="1" customHeight="1">
      <c r="A159" s="92"/>
      <c r="B159" s="65" t="s">
        <v>147</v>
      </c>
      <c r="C159" s="22"/>
      <c r="D159" s="22"/>
      <c r="E159" s="22"/>
      <c r="F159" s="29"/>
      <c r="G159" s="29"/>
      <c r="H159" s="22"/>
      <c r="I159" s="22"/>
      <c r="J159" s="22"/>
      <c r="K159" s="22"/>
      <c r="L159" s="22"/>
      <c r="M159" s="22"/>
      <c r="N159" s="22"/>
      <c r="O159" s="22"/>
      <c r="P159" s="22"/>
      <c r="Q159" s="22"/>
      <c r="R159" s="22"/>
      <c r="S159" s="22"/>
      <c r="T159" s="22"/>
      <c r="U159" s="22"/>
      <c r="V159" s="138"/>
      <c r="W159" s="138"/>
      <c r="X159" s="138"/>
      <c r="Y159" s="138"/>
      <c r="Z159" s="22"/>
      <c r="AA159" s="29"/>
      <c r="AB159" s="29"/>
      <c r="AC159" s="138"/>
      <c r="AD159" s="29"/>
      <c r="AE159" s="29"/>
      <c r="AF159" s="22"/>
      <c r="AG159" s="29"/>
      <c r="AH159" s="29"/>
      <c r="AI159" s="138"/>
      <c r="AJ159" s="51"/>
    </row>
    <row r="160" spans="1:39" s="82" customFormat="1" ht="31.5" hidden="1" customHeight="1">
      <c r="A160" s="151" t="s">
        <v>40</v>
      </c>
      <c r="B160" s="151"/>
      <c r="C160" s="22"/>
      <c r="D160" s="22"/>
      <c r="E160" s="22"/>
      <c r="F160" s="22"/>
      <c r="G160" s="138"/>
      <c r="H160" s="22"/>
      <c r="I160" s="22"/>
      <c r="J160" s="22"/>
      <c r="K160" s="22"/>
      <c r="L160" s="22"/>
      <c r="M160" s="22"/>
      <c r="N160" s="22"/>
      <c r="O160" s="22"/>
      <c r="P160" s="22"/>
      <c r="Q160" s="22"/>
      <c r="R160" s="22"/>
      <c r="S160" s="22"/>
      <c r="T160" s="22"/>
      <c r="U160" s="22"/>
      <c r="V160" s="138"/>
      <c r="W160" s="138"/>
      <c r="X160" s="138" t="s">
        <v>115</v>
      </c>
      <c r="Y160" s="138"/>
      <c r="Z160" s="22"/>
      <c r="AA160" s="42"/>
      <c r="AB160" s="138"/>
      <c r="AC160" s="138"/>
      <c r="AD160" s="138"/>
      <c r="AE160" s="138"/>
      <c r="AF160" s="22"/>
      <c r="AG160" s="22"/>
      <c r="AH160" s="136"/>
      <c r="AI160" s="22"/>
      <c r="AJ160" s="23"/>
    </row>
    <row r="161" spans="1:37" s="82" customFormat="1" ht="71.25" hidden="1" customHeight="1">
      <c r="A161" s="26">
        <v>2</v>
      </c>
      <c r="B161" s="65" t="s">
        <v>148</v>
      </c>
      <c r="C161" s="22"/>
      <c r="D161" s="22"/>
      <c r="E161" s="22"/>
      <c r="F161" s="29"/>
      <c r="G161" s="29"/>
      <c r="H161" s="22"/>
      <c r="I161" s="22"/>
      <c r="J161" s="22"/>
      <c r="K161" s="22"/>
      <c r="L161" s="22"/>
      <c r="M161" s="22"/>
      <c r="N161" s="22"/>
      <c r="O161" s="22"/>
      <c r="P161" s="22"/>
      <c r="Q161" s="22"/>
      <c r="R161" s="22"/>
      <c r="S161" s="22"/>
      <c r="T161" s="22"/>
      <c r="U161" s="22"/>
      <c r="V161" s="138" t="s">
        <v>45</v>
      </c>
      <c r="W161" s="138" t="s">
        <v>62</v>
      </c>
      <c r="X161" s="138"/>
      <c r="Y161" s="138"/>
      <c r="Z161" s="22" t="s">
        <v>64</v>
      </c>
      <c r="AA161" s="29"/>
      <c r="AB161" s="29"/>
      <c r="AC161" s="138"/>
      <c r="AD161" s="29"/>
      <c r="AE161" s="138"/>
      <c r="AF161" s="22"/>
      <c r="AG161" s="29">
        <f>F161</f>
        <v>0</v>
      </c>
      <c r="AH161" s="29">
        <f>G161</f>
        <v>0</v>
      </c>
      <c r="AI161" s="138"/>
      <c r="AJ161" s="51">
        <f>AH161</f>
        <v>0</v>
      </c>
    </row>
    <row r="162" spans="1:37" s="82" customFormat="1" ht="70.5" hidden="1" customHeight="1">
      <c r="A162" s="26">
        <v>3</v>
      </c>
      <c r="B162" s="65" t="s">
        <v>149</v>
      </c>
      <c r="C162" s="22"/>
      <c r="D162" s="22"/>
      <c r="E162" s="22"/>
      <c r="F162" s="29"/>
      <c r="G162" s="29"/>
      <c r="H162" s="22"/>
      <c r="I162" s="22"/>
      <c r="J162" s="22"/>
      <c r="K162" s="22"/>
      <c r="L162" s="22"/>
      <c r="M162" s="22"/>
      <c r="N162" s="22"/>
      <c r="O162" s="22"/>
      <c r="P162" s="22"/>
      <c r="Q162" s="22"/>
      <c r="R162" s="22"/>
      <c r="S162" s="22"/>
      <c r="T162" s="22"/>
      <c r="U162" s="22"/>
      <c r="V162" s="138" t="s">
        <v>48</v>
      </c>
      <c r="W162" s="138"/>
      <c r="X162" s="138"/>
      <c r="Y162" s="138"/>
      <c r="Z162" s="22"/>
      <c r="AA162" s="29"/>
      <c r="AB162" s="29"/>
      <c r="AC162" s="138"/>
      <c r="AD162" s="29"/>
      <c r="AE162" s="138"/>
      <c r="AF162" s="22"/>
      <c r="AG162" s="29">
        <f>F162</f>
        <v>0</v>
      </c>
      <c r="AH162" s="29">
        <f>G162</f>
        <v>0</v>
      </c>
      <c r="AI162" s="138"/>
      <c r="AJ162" s="51">
        <f>AH162</f>
        <v>0</v>
      </c>
    </row>
    <row r="163" spans="1:37" s="82" customFormat="1" ht="30" customHeight="1">
      <c r="A163" s="151" t="s">
        <v>54</v>
      </c>
      <c r="B163" s="151"/>
      <c r="C163" s="22"/>
      <c r="D163" s="22"/>
      <c r="E163" s="22"/>
      <c r="F163" s="22"/>
      <c r="G163" s="138"/>
      <c r="H163" s="22"/>
      <c r="I163" s="22"/>
      <c r="J163" s="22"/>
      <c r="K163" s="22"/>
      <c r="L163" s="22"/>
      <c r="M163" s="22"/>
      <c r="N163" s="22"/>
      <c r="O163" s="22"/>
      <c r="P163" s="22"/>
      <c r="Q163" s="22"/>
      <c r="R163" s="22"/>
      <c r="S163" s="22"/>
      <c r="T163" s="22"/>
      <c r="U163" s="22"/>
      <c r="V163" s="138"/>
      <c r="W163" s="138"/>
      <c r="X163" s="138"/>
      <c r="Y163" s="138"/>
      <c r="Z163" s="22"/>
      <c r="AA163" s="42"/>
      <c r="AB163" s="138"/>
      <c r="AC163" s="138"/>
      <c r="AD163" s="138"/>
      <c r="AE163" s="138"/>
      <c r="AF163" s="22"/>
      <c r="AG163" s="22"/>
      <c r="AH163" s="136"/>
      <c r="AI163" s="22"/>
      <c r="AJ163" s="23"/>
    </row>
    <row r="164" spans="1:37" s="82" customFormat="1" ht="64.5" customHeight="1">
      <c r="A164" s="26">
        <v>2</v>
      </c>
      <c r="B164" s="65" t="s">
        <v>150</v>
      </c>
      <c r="C164" s="22"/>
      <c r="D164" s="22"/>
      <c r="E164" s="22"/>
      <c r="F164" s="29">
        <v>73.569999999999993</v>
      </c>
      <c r="G164" s="29">
        <f>V164+AB164</f>
        <v>124562.68874</v>
      </c>
      <c r="H164" s="22"/>
      <c r="I164" s="22"/>
      <c r="J164" s="22"/>
      <c r="K164" s="22"/>
      <c r="L164" s="22"/>
      <c r="M164" s="22"/>
      <c r="N164" s="22"/>
      <c r="O164" s="22"/>
      <c r="P164" s="22"/>
      <c r="Q164" s="22"/>
      <c r="R164" s="22"/>
      <c r="S164" s="22"/>
      <c r="T164" s="22"/>
      <c r="U164" s="22"/>
      <c r="V164" s="29">
        <v>43000</v>
      </c>
      <c r="W164" s="138"/>
      <c r="X164" s="29">
        <f>V164</f>
        <v>43000</v>
      </c>
      <c r="Y164" s="138"/>
      <c r="Z164" s="22"/>
      <c r="AA164" s="29">
        <f>F164</f>
        <v>73.569999999999993</v>
      </c>
      <c r="AB164" s="29">
        <v>81562.688739999998</v>
      </c>
      <c r="AC164" s="138"/>
      <c r="AD164" s="29">
        <f>AB164</f>
        <v>81562.688739999998</v>
      </c>
      <c r="AE164" s="138"/>
      <c r="AF164" s="22"/>
      <c r="AG164" s="22"/>
      <c r="AH164" s="136"/>
      <c r="AI164" s="22"/>
      <c r="AJ164" s="23"/>
    </row>
    <row r="165" spans="1:37" s="82" customFormat="1" ht="62.25" customHeight="1">
      <c r="A165" s="26">
        <v>3</v>
      </c>
      <c r="B165" s="65" t="s">
        <v>151</v>
      </c>
      <c r="C165" s="22"/>
      <c r="D165" s="22"/>
      <c r="E165" s="22"/>
      <c r="F165" s="29">
        <v>45.4</v>
      </c>
      <c r="G165" s="29">
        <f>19500-2239.9815+0.00764</f>
        <v>17260.026139999998</v>
      </c>
      <c r="H165" s="22"/>
      <c r="I165" s="22"/>
      <c r="J165" s="22"/>
      <c r="K165" s="22"/>
      <c r="L165" s="22"/>
      <c r="M165" s="22"/>
      <c r="N165" s="22"/>
      <c r="O165" s="22"/>
      <c r="P165" s="22"/>
      <c r="Q165" s="22"/>
      <c r="R165" s="22"/>
      <c r="S165" s="22"/>
      <c r="T165" s="22"/>
      <c r="U165" s="22"/>
      <c r="V165" s="138"/>
      <c r="W165" s="138"/>
      <c r="X165" s="138"/>
      <c r="Y165" s="138"/>
      <c r="Z165" s="22"/>
      <c r="AA165" s="29">
        <f>F165</f>
        <v>45.4</v>
      </c>
      <c r="AB165" s="29">
        <f>G165</f>
        <v>17260.026139999998</v>
      </c>
      <c r="AC165" s="138"/>
      <c r="AD165" s="29">
        <f>AB165</f>
        <v>17260.026139999998</v>
      </c>
      <c r="AE165" s="138"/>
      <c r="AF165" s="22"/>
      <c r="AG165" s="22"/>
      <c r="AH165" s="136"/>
      <c r="AI165" s="22"/>
      <c r="AJ165" s="23"/>
    </row>
    <row r="166" spans="1:37" s="82" customFormat="1" ht="32.25" customHeight="1">
      <c r="A166" s="146" t="s">
        <v>58</v>
      </c>
      <c r="B166" s="146"/>
      <c r="C166" s="32"/>
      <c r="D166" s="32"/>
      <c r="E166" s="32"/>
      <c r="F166" s="32"/>
      <c r="G166" s="3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  <c r="S166" s="42"/>
      <c r="T166" s="138"/>
      <c r="U166" s="43"/>
      <c r="V166" s="138"/>
      <c r="W166" s="138"/>
      <c r="X166" s="138"/>
      <c r="Y166" s="138"/>
      <c r="Z166" s="42"/>
      <c r="AA166" s="42"/>
      <c r="AB166" s="42"/>
      <c r="AC166" s="42"/>
      <c r="AD166" s="42"/>
      <c r="AE166" s="42"/>
      <c r="AF166" s="42"/>
      <c r="AG166" s="42"/>
      <c r="AH166" s="93"/>
      <c r="AI166" s="42"/>
      <c r="AJ166" s="94"/>
    </row>
    <row r="167" spans="1:37" s="82" customFormat="1" ht="63.75" customHeight="1">
      <c r="A167" s="26">
        <v>4</v>
      </c>
      <c r="B167" s="65" t="s">
        <v>152</v>
      </c>
      <c r="C167" s="27"/>
      <c r="D167" s="32"/>
      <c r="E167" s="32"/>
      <c r="F167" s="29">
        <v>120.68</v>
      </c>
      <c r="G167" s="29">
        <f>41351.1+V167</f>
        <v>146559.9</v>
      </c>
      <c r="H167" s="42">
        <v>146559.9</v>
      </c>
      <c r="I167" s="42"/>
      <c r="J167" s="42"/>
      <c r="K167" s="42"/>
      <c r="L167" s="42"/>
      <c r="M167" s="42"/>
      <c r="N167" s="42"/>
      <c r="O167" s="42"/>
      <c r="P167" s="42"/>
      <c r="Q167" s="42"/>
      <c r="R167" s="42"/>
      <c r="S167" s="42"/>
      <c r="T167" s="138"/>
      <c r="U167" s="29">
        <f>F167</f>
        <v>120.68</v>
      </c>
      <c r="V167" s="29">
        <f>X167+Y167</f>
        <v>105208.8</v>
      </c>
      <c r="W167" s="29"/>
      <c r="X167" s="95">
        <v>98896.3</v>
      </c>
      <c r="Y167" s="95">
        <v>6312.5</v>
      </c>
      <c r="Z167" s="42"/>
      <c r="AA167" s="42"/>
      <c r="AB167" s="42"/>
      <c r="AC167" s="42"/>
      <c r="AD167" s="42"/>
      <c r="AE167" s="42"/>
      <c r="AF167" s="42"/>
      <c r="AG167" s="42"/>
      <c r="AH167" s="93"/>
      <c r="AI167" s="42"/>
      <c r="AJ167" s="94"/>
      <c r="AK167" s="96">
        <v>41351.1</v>
      </c>
    </row>
    <row r="168" spans="1:37" s="82" customFormat="1" ht="63" customHeight="1">
      <c r="A168" s="26">
        <v>5</v>
      </c>
      <c r="B168" s="65" t="s">
        <v>153</v>
      </c>
      <c r="C168" s="27"/>
      <c r="D168" s="32"/>
      <c r="E168" s="32"/>
      <c r="F168" s="29">
        <v>69.209999999999994</v>
      </c>
      <c r="G168" s="29">
        <v>63306.050089999997</v>
      </c>
      <c r="H168" s="42"/>
      <c r="I168" s="42"/>
      <c r="J168" s="42"/>
      <c r="K168" s="42"/>
      <c r="L168" s="42"/>
      <c r="M168" s="42"/>
      <c r="N168" s="42"/>
      <c r="O168" s="42"/>
      <c r="P168" s="42"/>
      <c r="Q168" s="42"/>
      <c r="R168" s="42"/>
      <c r="S168" s="42"/>
      <c r="T168" s="138"/>
      <c r="U168" s="29">
        <f>F168</f>
        <v>69.209999999999994</v>
      </c>
      <c r="V168" s="29">
        <f>G168</f>
        <v>63306.050089999997</v>
      </c>
      <c r="W168" s="29"/>
      <c r="X168" s="29">
        <f>V168</f>
        <v>63306.050089999997</v>
      </c>
      <c r="Y168" s="29"/>
      <c r="Z168" s="42"/>
      <c r="AA168" s="42"/>
      <c r="AB168" s="42"/>
      <c r="AC168" s="42"/>
      <c r="AD168" s="42"/>
      <c r="AE168" s="42"/>
      <c r="AF168" s="42"/>
      <c r="AG168" s="42" t="s">
        <v>154</v>
      </c>
      <c r="AH168" s="93"/>
      <c r="AI168" s="42"/>
      <c r="AJ168" s="94"/>
    </row>
    <row r="169" spans="1:37" s="82" customFormat="1" ht="71.25" customHeight="1">
      <c r="A169" s="26">
        <v>6</v>
      </c>
      <c r="B169" s="65" t="s">
        <v>155</v>
      </c>
      <c r="C169" s="27"/>
      <c r="D169" s="32"/>
      <c r="E169" s="32"/>
      <c r="F169" s="29">
        <v>80.3</v>
      </c>
      <c r="G169" s="29">
        <f>33000-3386.74537</f>
        <v>29613.254629999999</v>
      </c>
      <c r="H169" s="42"/>
      <c r="I169" s="42"/>
      <c r="J169" s="42"/>
      <c r="K169" s="42"/>
      <c r="L169" s="42"/>
      <c r="M169" s="42"/>
      <c r="N169" s="42"/>
      <c r="O169" s="42"/>
      <c r="P169" s="42"/>
      <c r="Q169" s="42"/>
      <c r="R169" s="42"/>
      <c r="S169" s="42"/>
      <c r="T169" s="138"/>
      <c r="U169" s="29"/>
      <c r="V169" s="29"/>
      <c r="W169" s="29"/>
      <c r="X169" s="29"/>
      <c r="Y169" s="29"/>
      <c r="Z169" s="42"/>
      <c r="AA169" s="29">
        <f>F169</f>
        <v>80.3</v>
      </c>
      <c r="AB169" s="29">
        <f>G169</f>
        <v>29613.254629999999</v>
      </c>
      <c r="AC169" s="42"/>
      <c r="AD169" s="29">
        <f>AB169</f>
        <v>29613.254629999999</v>
      </c>
      <c r="AE169" s="42"/>
      <c r="AF169" s="42"/>
      <c r="AG169" s="42"/>
      <c r="AH169" s="93"/>
      <c r="AI169" s="42"/>
      <c r="AJ169" s="94"/>
    </row>
    <row r="170" spans="1:37" s="82" customFormat="1" ht="30.75" customHeight="1">
      <c r="A170" s="146" t="s">
        <v>67</v>
      </c>
      <c r="B170" s="146"/>
      <c r="C170" s="27"/>
      <c r="D170" s="32"/>
      <c r="E170" s="32"/>
      <c r="F170" s="29"/>
      <c r="G170" s="29"/>
      <c r="H170" s="42"/>
      <c r="I170" s="42"/>
      <c r="J170" s="42"/>
      <c r="K170" s="42"/>
      <c r="L170" s="42"/>
      <c r="M170" s="42"/>
      <c r="N170" s="42"/>
      <c r="O170" s="42"/>
      <c r="P170" s="42"/>
      <c r="Q170" s="42"/>
      <c r="R170" s="42"/>
      <c r="S170" s="42"/>
      <c r="T170" s="138"/>
      <c r="U170" s="29"/>
      <c r="V170" s="29"/>
      <c r="W170" s="29"/>
      <c r="X170" s="29"/>
      <c r="Y170" s="29"/>
      <c r="Z170" s="42"/>
      <c r="AA170" s="29"/>
      <c r="AB170" s="29"/>
      <c r="AC170" s="42"/>
      <c r="AD170" s="29"/>
      <c r="AE170" s="42"/>
      <c r="AF170" s="42"/>
      <c r="AG170" s="42"/>
      <c r="AH170" s="93"/>
      <c r="AI170" s="42"/>
      <c r="AJ170" s="94"/>
    </row>
    <row r="171" spans="1:37" s="82" customFormat="1" ht="65.25" customHeight="1">
      <c r="A171" s="26">
        <v>7</v>
      </c>
      <c r="B171" s="65" t="s">
        <v>156</v>
      </c>
      <c r="C171" s="27"/>
      <c r="D171" s="32"/>
      <c r="E171" s="32"/>
      <c r="F171" s="29">
        <v>69.2</v>
      </c>
      <c r="G171" s="29">
        <v>28760.336759999998</v>
      </c>
      <c r="H171" s="42"/>
      <c r="I171" s="42"/>
      <c r="J171" s="42"/>
      <c r="K171" s="42"/>
      <c r="L171" s="42"/>
      <c r="M171" s="42"/>
      <c r="N171" s="42"/>
      <c r="O171" s="42"/>
      <c r="P171" s="42"/>
      <c r="Q171" s="42"/>
      <c r="R171" s="42"/>
      <c r="S171" s="42"/>
      <c r="T171" s="138"/>
      <c r="U171" s="29"/>
      <c r="V171" s="29"/>
      <c r="W171" s="29"/>
      <c r="X171" s="29"/>
      <c r="Y171" s="29"/>
      <c r="Z171" s="42"/>
      <c r="AA171" s="29">
        <f>F171</f>
        <v>69.2</v>
      </c>
      <c r="AB171" s="29">
        <f>G171</f>
        <v>28760.336759999998</v>
      </c>
      <c r="AC171" s="42"/>
      <c r="AD171" s="29">
        <f>AB171</f>
        <v>28760.336759999998</v>
      </c>
      <c r="AE171" s="42"/>
      <c r="AF171" s="42"/>
      <c r="AG171" s="42"/>
      <c r="AH171" s="93"/>
      <c r="AI171" s="42"/>
      <c r="AJ171" s="94"/>
    </row>
    <row r="172" spans="1:37" s="82" customFormat="1" ht="30" customHeight="1">
      <c r="A172" s="146" t="s">
        <v>72</v>
      </c>
      <c r="B172" s="146"/>
      <c r="C172" s="32"/>
      <c r="D172" s="32"/>
      <c r="E172" s="32"/>
      <c r="F172" s="32"/>
      <c r="G172" s="138"/>
      <c r="H172" s="42"/>
      <c r="I172" s="42"/>
      <c r="J172" s="42"/>
      <c r="K172" s="42"/>
      <c r="L172" s="42"/>
      <c r="M172" s="42"/>
      <c r="N172" s="42"/>
      <c r="O172" s="42"/>
      <c r="P172" s="42"/>
      <c r="Q172" s="42"/>
      <c r="R172" s="42"/>
      <c r="S172" s="42"/>
      <c r="T172" s="138"/>
      <c r="U172" s="43"/>
      <c r="V172" s="138"/>
      <c r="W172" s="138"/>
      <c r="X172" s="138"/>
      <c r="Y172" s="138"/>
      <c r="Z172" s="42"/>
      <c r="AA172" s="42"/>
      <c r="AB172" s="42"/>
      <c r="AC172" s="42"/>
      <c r="AD172" s="42"/>
      <c r="AE172" s="42"/>
      <c r="AF172" s="42"/>
      <c r="AG172" s="42"/>
      <c r="AH172" s="93"/>
      <c r="AI172" s="42"/>
      <c r="AJ172" s="94"/>
    </row>
    <row r="173" spans="1:37" s="82" customFormat="1" ht="86.25" customHeight="1">
      <c r="A173" s="26">
        <v>8</v>
      </c>
      <c r="B173" s="65" t="s">
        <v>157</v>
      </c>
      <c r="C173" s="32"/>
      <c r="D173" s="32"/>
      <c r="E173" s="32"/>
      <c r="F173" s="29">
        <v>71.680000000000007</v>
      </c>
      <c r="G173" s="29">
        <f>V173+AB173</f>
        <v>222917.87677999999</v>
      </c>
      <c r="H173" s="42"/>
      <c r="I173" s="42"/>
      <c r="J173" s="42"/>
      <c r="K173" s="42"/>
      <c r="L173" s="42"/>
      <c r="M173" s="42"/>
      <c r="N173" s="42"/>
      <c r="O173" s="42"/>
      <c r="P173" s="42"/>
      <c r="Q173" s="42"/>
      <c r="R173" s="42"/>
      <c r="S173" s="42"/>
      <c r="T173" s="138"/>
      <c r="U173" s="43"/>
      <c r="V173" s="29">
        <v>21999.971890000001</v>
      </c>
      <c r="W173" s="138" t="s">
        <v>62</v>
      </c>
      <c r="X173" s="29">
        <f>V173</f>
        <v>21999.971890000001</v>
      </c>
      <c r="Y173" s="138"/>
      <c r="Z173" s="42"/>
      <c r="AA173" s="29">
        <f>F173</f>
        <v>71.680000000000007</v>
      </c>
      <c r="AB173" s="29">
        <v>200917.90489000001</v>
      </c>
      <c r="AC173" s="42"/>
      <c r="AD173" s="29">
        <f>AB173</f>
        <v>200917.90489000001</v>
      </c>
      <c r="AE173" s="42"/>
      <c r="AF173" s="42"/>
      <c r="AG173" s="42"/>
      <c r="AH173" s="93"/>
      <c r="AI173" s="42"/>
      <c r="AJ173" s="94"/>
    </row>
    <row r="174" spans="1:37" s="82" customFormat="1" ht="63" hidden="1" customHeight="1">
      <c r="A174" s="66">
        <v>8</v>
      </c>
      <c r="B174" s="65" t="s">
        <v>158</v>
      </c>
      <c r="C174" s="32"/>
      <c r="D174" s="32"/>
      <c r="E174" s="32"/>
      <c r="F174" s="29"/>
      <c r="G174" s="29"/>
      <c r="H174" s="42"/>
      <c r="I174" s="42"/>
      <c r="J174" s="42"/>
      <c r="K174" s="42"/>
      <c r="L174" s="42"/>
      <c r="M174" s="42"/>
      <c r="N174" s="42"/>
      <c r="O174" s="42"/>
      <c r="P174" s="42"/>
      <c r="Q174" s="42"/>
      <c r="R174" s="42"/>
      <c r="S174" s="42"/>
      <c r="T174" s="138"/>
      <c r="U174" s="43"/>
      <c r="V174" s="138"/>
      <c r="W174" s="138"/>
      <c r="X174" s="138"/>
      <c r="Y174" s="138"/>
      <c r="Z174" s="42"/>
      <c r="AA174" s="29"/>
      <c r="AB174" s="29"/>
      <c r="AC174" s="42"/>
      <c r="AD174" s="29"/>
      <c r="AE174" s="42"/>
      <c r="AF174" s="42"/>
      <c r="AG174" s="42"/>
      <c r="AH174" s="93"/>
      <c r="AI174" s="42"/>
      <c r="AJ174" s="94"/>
    </row>
    <row r="175" spans="1:37" s="82" customFormat="1" ht="36" hidden="1" customHeight="1">
      <c r="A175" s="148" t="s">
        <v>82</v>
      </c>
      <c r="B175" s="148"/>
      <c r="C175" s="32"/>
      <c r="D175" s="32"/>
      <c r="E175" s="32"/>
      <c r="F175" s="42"/>
      <c r="G175" s="42"/>
      <c r="H175" s="42"/>
      <c r="I175" s="42"/>
      <c r="J175" s="42"/>
      <c r="K175" s="42"/>
      <c r="L175" s="42"/>
      <c r="M175" s="42"/>
      <c r="N175" s="42"/>
      <c r="O175" s="42"/>
      <c r="P175" s="42"/>
      <c r="Q175" s="42"/>
      <c r="R175" s="42"/>
      <c r="S175" s="42"/>
      <c r="T175" s="138"/>
      <c r="U175" s="43"/>
      <c r="V175" s="138"/>
      <c r="W175" s="138"/>
      <c r="X175" s="138"/>
      <c r="Y175" s="138"/>
      <c r="Z175" s="42"/>
      <c r="AA175" s="42"/>
      <c r="AB175" s="42"/>
      <c r="AC175" s="42"/>
      <c r="AD175" s="42"/>
      <c r="AE175" s="42"/>
      <c r="AF175" s="42"/>
      <c r="AG175" s="42"/>
      <c r="AH175" s="93"/>
      <c r="AI175" s="42"/>
      <c r="AJ175" s="94"/>
    </row>
    <row r="176" spans="1:37" s="82" customFormat="1" ht="54.75" hidden="1" customHeight="1">
      <c r="A176" s="66"/>
      <c r="B176" s="65" t="s">
        <v>159</v>
      </c>
      <c r="C176" s="32"/>
      <c r="D176" s="32"/>
      <c r="E176" s="32"/>
      <c r="F176" s="29"/>
      <c r="G176" s="29"/>
      <c r="H176" s="42"/>
      <c r="I176" s="42"/>
      <c r="J176" s="42"/>
      <c r="K176" s="42"/>
      <c r="L176" s="42"/>
      <c r="M176" s="42"/>
      <c r="N176" s="42"/>
      <c r="O176" s="42"/>
      <c r="P176" s="42"/>
      <c r="Q176" s="42"/>
      <c r="R176" s="42"/>
      <c r="S176" s="42"/>
      <c r="T176" s="138"/>
      <c r="U176" s="43"/>
      <c r="V176" s="138"/>
      <c r="W176" s="138"/>
      <c r="X176" s="138"/>
      <c r="Y176" s="138"/>
      <c r="Z176" s="42"/>
      <c r="AA176" s="29"/>
      <c r="AB176" s="29">
        <f>G176</f>
        <v>0</v>
      </c>
      <c r="AC176" s="42"/>
      <c r="AD176" s="29">
        <f>AB176</f>
        <v>0</v>
      </c>
      <c r="AE176" s="42"/>
      <c r="AF176" s="42"/>
      <c r="AG176" s="42"/>
      <c r="AH176" s="93"/>
      <c r="AI176" s="42"/>
      <c r="AJ176" s="94"/>
    </row>
    <row r="177" spans="1:37" s="82" customFormat="1" ht="30.75" customHeight="1">
      <c r="A177" s="146" t="s">
        <v>85</v>
      </c>
      <c r="B177" s="146"/>
      <c r="C177" s="32"/>
      <c r="D177" s="32"/>
      <c r="E177" s="32"/>
      <c r="F177" s="42"/>
      <c r="G177" s="97"/>
      <c r="H177" s="42"/>
      <c r="I177" s="42"/>
      <c r="J177" s="42"/>
      <c r="K177" s="42"/>
      <c r="L177" s="42"/>
      <c r="M177" s="42"/>
      <c r="N177" s="42"/>
      <c r="O177" s="42"/>
      <c r="P177" s="42"/>
      <c r="Q177" s="42"/>
      <c r="R177" s="42"/>
      <c r="S177" s="42"/>
      <c r="T177" s="138"/>
      <c r="U177" s="43"/>
      <c r="V177" s="29"/>
      <c r="W177" s="138"/>
      <c r="X177" s="138"/>
      <c r="Y177" s="138"/>
      <c r="Z177" s="42"/>
      <c r="AA177" s="42"/>
      <c r="AB177" s="42"/>
      <c r="AC177" s="42"/>
      <c r="AD177" s="29"/>
      <c r="AE177" s="42"/>
      <c r="AF177" s="42"/>
      <c r="AG177" s="42"/>
      <c r="AH177" s="93"/>
      <c r="AI177" s="42"/>
      <c r="AJ177" s="94"/>
    </row>
    <row r="178" spans="1:37" s="82" customFormat="1" ht="54.75" customHeight="1">
      <c r="A178" s="26">
        <v>9</v>
      </c>
      <c r="B178" s="65" t="s">
        <v>160</v>
      </c>
      <c r="C178" s="32"/>
      <c r="D178" s="32"/>
      <c r="E178" s="32"/>
      <c r="F178" s="29">
        <v>51.2</v>
      </c>
      <c r="G178" s="29">
        <f>19500-2110.24684</f>
        <v>17389.75316</v>
      </c>
      <c r="H178" s="42"/>
      <c r="I178" s="42"/>
      <c r="J178" s="42"/>
      <c r="K178" s="42"/>
      <c r="L178" s="42"/>
      <c r="M178" s="42"/>
      <c r="N178" s="42"/>
      <c r="O178" s="42"/>
      <c r="P178" s="42"/>
      <c r="Q178" s="42"/>
      <c r="R178" s="42"/>
      <c r="S178" s="42"/>
      <c r="T178" s="138"/>
      <c r="U178" s="43"/>
      <c r="V178" s="138"/>
      <c r="W178" s="138"/>
      <c r="X178" s="138"/>
      <c r="Y178" s="138"/>
      <c r="Z178" s="42"/>
      <c r="AA178" s="29">
        <v>51.2</v>
      </c>
      <c r="AB178" s="29">
        <f>G178</f>
        <v>17389.75316</v>
      </c>
      <c r="AC178" s="42"/>
      <c r="AD178" s="29">
        <f>AB178</f>
        <v>17389.75316</v>
      </c>
      <c r="AE178" s="42"/>
      <c r="AF178" s="42"/>
      <c r="AG178" s="42"/>
      <c r="AH178" s="93"/>
      <c r="AI178" s="42"/>
      <c r="AJ178" s="94"/>
    </row>
    <row r="179" spans="1:37" s="82" customFormat="1" ht="33.75" customHeight="1">
      <c r="A179" s="146" t="s">
        <v>94</v>
      </c>
      <c r="B179" s="146"/>
      <c r="C179" s="32"/>
      <c r="D179" s="32"/>
      <c r="E179" s="32"/>
      <c r="F179" s="42"/>
      <c r="G179" s="42"/>
      <c r="H179" s="42"/>
      <c r="I179" s="42"/>
      <c r="J179" s="42"/>
      <c r="K179" s="42"/>
      <c r="L179" s="42"/>
      <c r="M179" s="42"/>
      <c r="N179" s="42"/>
      <c r="O179" s="42"/>
      <c r="P179" s="42"/>
      <c r="Q179" s="42"/>
      <c r="R179" s="42"/>
      <c r="S179" s="42"/>
      <c r="T179" s="138"/>
      <c r="U179" s="43"/>
      <c r="V179" s="138"/>
      <c r="W179" s="138"/>
      <c r="X179" s="138"/>
      <c r="Y179" s="138"/>
      <c r="Z179" s="42"/>
      <c r="AA179" s="42"/>
      <c r="AB179" s="42"/>
      <c r="AC179" s="42"/>
      <c r="AD179" s="42"/>
      <c r="AE179" s="42"/>
      <c r="AF179" s="42"/>
      <c r="AG179" s="42"/>
      <c r="AH179" s="93"/>
      <c r="AI179" s="42"/>
      <c r="AJ179" s="94"/>
    </row>
    <row r="180" spans="1:37" s="82" customFormat="1" ht="64.5" customHeight="1">
      <c r="A180" s="26">
        <v>10</v>
      </c>
      <c r="B180" s="65" t="s">
        <v>161</v>
      </c>
      <c r="C180" s="32"/>
      <c r="D180" s="32"/>
      <c r="E180" s="32"/>
      <c r="F180" s="29">
        <v>50.9</v>
      </c>
      <c r="G180" s="29">
        <v>15478.27</v>
      </c>
      <c r="H180" s="42"/>
      <c r="I180" s="42"/>
      <c r="J180" s="42"/>
      <c r="K180" s="42"/>
      <c r="L180" s="42"/>
      <c r="M180" s="42"/>
      <c r="N180" s="42"/>
      <c r="O180" s="42"/>
      <c r="P180" s="42"/>
      <c r="Q180" s="42"/>
      <c r="R180" s="42"/>
      <c r="S180" s="42"/>
      <c r="T180" s="138"/>
      <c r="U180" s="29">
        <f>F180</f>
        <v>50.9</v>
      </c>
      <c r="V180" s="29">
        <f>G180</f>
        <v>15478.27</v>
      </c>
      <c r="W180" s="29"/>
      <c r="X180" s="29">
        <f>V180</f>
        <v>15478.27</v>
      </c>
      <c r="Y180" s="138"/>
      <c r="Z180" s="42"/>
      <c r="AA180" s="42"/>
      <c r="AB180" s="42"/>
      <c r="AC180" s="42"/>
      <c r="AD180" s="42"/>
      <c r="AE180" s="42"/>
      <c r="AF180" s="42"/>
      <c r="AG180" s="42"/>
      <c r="AH180" s="93"/>
      <c r="AI180" s="42"/>
      <c r="AJ180" s="94"/>
    </row>
    <row r="181" spans="1:37" s="82" customFormat="1" ht="52.5" customHeight="1">
      <c r="A181" s="26">
        <v>11</v>
      </c>
      <c r="B181" s="98" t="s">
        <v>162</v>
      </c>
      <c r="C181" s="32"/>
      <c r="D181" s="32"/>
      <c r="E181" s="32"/>
      <c r="F181" s="29">
        <v>67.7</v>
      </c>
      <c r="G181" s="29">
        <f>28000-1534.64814</f>
        <v>26465.351859999999</v>
      </c>
      <c r="H181" s="42"/>
      <c r="I181" s="42"/>
      <c r="J181" s="42"/>
      <c r="K181" s="42"/>
      <c r="L181" s="42"/>
      <c r="M181" s="42"/>
      <c r="N181" s="42"/>
      <c r="O181" s="42"/>
      <c r="P181" s="42"/>
      <c r="Q181" s="42"/>
      <c r="R181" s="42"/>
      <c r="S181" s="42"/>
      <c r="T181" s="138"/>
      <c r="U181" s="29"/>
      <c r="V181" s="29"/>
      <c r="W181" s="29"/>
      <c r="X181" s="29"/>
      <c r="Y181" s="138"/>
      <c r="Z181" s="42"/>
      <c r="AA181" s="29">
        <v>67.7</v>
      </c>
      <c r="AB181" s="29">
        <f>G181</f>
        <v>26465.351859999999</v>
      </c>
      <c r="AC181" s="42"/>
      <c r="AD181" s="29">
        <f>AB181</f>
        <v>26465.351859999999</v>
      </c>
      <c r="AE181" s="42"/>
      <c r="AF181" s="42"/>
      <c r="AG181" s="42"/>
      <c r="AH181" s="93"/>
      <c r="AI181" s="42"/>
      <c r="AJ181" s="94"/>
    </row>
    <row r="182" spans="1:37" s="82" customFormat="1" ht="36" customHeight="1">
      <c r="A182" s="146" t="s">
        <v>106</v>
      </c>
      <c r="B182" s="146"/>
      <c r="C182" s="32"/>
      <c r="D182" s="99"/>
      <c r="E182" s="99"/>
      <c r="F182" s="29"/>
      <c r="G182" s="29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  <c r="S182" s="42"/>
      <c r="T182" s="138"/>
      <c r="U182" s="43"/>
      <c r="V182" s="138"/>
      <c r="W182" s="138"/>
      <c r="X182" s="138"/>
      <c r="Y182" s="138"/>
      <c r="Z182" s="42"/>
      <c r="AA182" s="54"/>
      <c r="AB182" s="29"/>
      <c r="AC182" s="29"/>
      <c r="AD182" s="29"/>
      <c r="AE182" s="29"/>
      <c r="AF182" s="42"/>
      <c r="AG182" s="42"/>
      <c r="AH182" s="93"/>
      <c r="AI182" s="42"/>
      <c r="AJ182" s="94"/>
    </row>
    <row r="183" spans="1:37" s="82" customFormat="1" ht="63" customHeight="1">
      <c r="A183" s="26">
        <v>12</v>
      </c>
      <c r="B183" s="98" t="s">
        <v>163</v>
      </c>
      <c r="C183" s="32"/>
      <c r="D183" s="99"/>
      <c r="E183" s="99"/>
      <c r="F183" s="29">
        <v>216.28</v>
      </c>
      <c r="G183" s="29">
        <v>375000</v>
      </c>
      <c r="H183" s="42"/>
      <c r="I183" s="42"/>
      <c r="J183" s="42"/>
      <c r="K183" s="42"/>
      <c r="L183" s="42"/>
      <c r="M183" s="42"/>
      <c r="N183" s="42"/>
      <c r="O183" s="42"/>
      <c r="P183" s="42"/>
      <c r="Q183" s="42"/>
      <c r="R183" s="42"/>
      <c r="S183" s="42"/>
      <c r="T183" s="138"/>
      <c r="U183" s="43"/>
      <c r="V183" s="138"/>
      <c r="W183" s="138"/>
      <c r="X183" s="138"/>
      <c r="Y183" s="138"/>
      <c r="Z183" s="42"/>
      <c r="AA183" s="29">
        <v>216.28</v>
      </c>
      <c r="AB183" s="29">
        <v>375000</v>
      </c>
      <c r="AC183" s="29"/>
      <c r="AD183" s="29">
        <f>352500-249500+249500</f>
        <v>352500</v>
      </c>
      <c r="AE183" s="29">
        <f>AB183-AD183</f>
        <v>22500</v>
      </c>
      <c r="AF183" s="42"/>
      <c r="AG183" s="42"/>
      <c r="AH183" s="93"/>
      <c r="AI183" s="42"/>
      <c r="AJ183" s="94"/>
    </row>
    <row r="184" spans="1:37" s="82" customFormat="1" ht="30.75" customHeight="1">
      <c r="A184" s="146" t="s">
        <v>164</v>
      </c>
      <c r="B184" s="146"/>
      <c r="C184" s="32"/>
      <c r="D184" s="99"/>
      <c r="E184" s="99"/>
      <c r="F184" s="54"/>
      <c r="G184" s="29"/>
      <c r="H184" s="42"/>
      <c r="I184" s="42"/>
      <c r="J184" s="42"/>
      <c r="K184" s="42"/>
      <c r="L184" s="42"/>
      <c r="M184" s="42"/>
      <c r="N184" s="42"/>
      <c r="O184" s="42"/>
      <c r="P184" s="42"/>
      <c r="Q184" s="42"/>
      <c r="R184" s="42"/>
      <c r="S184" s="42"/>
      <c r="T184" s="138"/>
      <c r="U184" s="43"/>
      <c r="V184" s="138"/>
      <c r="W184" s="138"/>
      <c r="X184" s="138"/>
      <c r="Y184" s="138"/>
      <c r="Z184" s="42"/>
      <c r="AA184" s="54"/>
      <c r="AB184" s="29"/>
      <c r="AC184" s="29"/>
      <c r="AD184" s="29"/>
      <c r="AE184" s="29"/>
      <c r="AF184" s="42"/>
      <c r="AG184" s="42"/>
      <c r="AH184" s="93"/>
      <c r="AI184" s="42"/>
      <c r="AJ184" s="94"/>
    </row>
    <row r="185" spans="1:37" s="82" customFormat="1" ht="63" customHeight="1">
      <c r="A185" s="26">
        <v>13</v>
      </c>
      <c r="B185" s="98" t="s">
        <v>165</v>
      </c>
      <c r="C185" s="32"/>
      <c r="D185" s="99"/>
      <c r="E185" s="99"/>
      <c r="F185" s="29">
        <v>39.700000000000003</v>
      </c>
      <c r="G185" s="29">
        <v>10933.883819999999</v>
      </c>
      <c r="H185" s="42"/>
      <c r="I185" s="42"/>
      <c r="J185" s="42"/>
      <c r="K185" s="42"/>
      <c r="L185" s="42"/>
      <c r="M185" s="42"/>
      <c r="N185" s="42"/>
      <c r="O185" s="42"/>
      <c r="P185" s="42"/>
      <c r="Q185" s="42"/>
      <c r="R185" s="42"/>
      <c r="S185" s="42"/>
      <c r="T185" s="138"/>
      <c r="U185" s="43"/>
      <c r="V185" s="138"/>
      <c r="W185" s="138"/>
      <c r="X185" s="138"/>
      <c r="Y185" s="138"/>
      <c r="Z185" s="42"/>
      <c r="AA185" s="29">
        <v>39.700000000000003</v>
      </c>
      <c r="AB185" s="29">
        <f>G185</f>
        <v>10933.883819999999</v>
      </c>
      <c r="AC185" s="29"/>
      <c r="AD185" s="29">
        <f>AB185</f>
        <v>10933.883819999999</v>
      </c>
      <c r="AE185" s="29"/>
      <c r="AF185" s="42"/>
      <c r="AG185" s="42"/>
      <c r="AH185" s="93"/>
      <c r="AI185" s="42"/>
      <c r="AJ185" s="94"/>
    </row>
    <row r="186" spans="1:37" s="82" customFormat="1" ht="32.25" customHeight="1">
      <c r="A186" s="146" t="s">
        <v>121</v>
      </c>
      <c r="B186" s="146"/>
      <c r="C186" s="32"/>
      <c r="D186" s="99"/>
      <c r="E186" s="99"/>
      <c r="F186" s="29"/>
      <c r="G186" s="29"/>
      <c r="H186" s="42"/>
      <c r="I186" s="42"/>
      <c r="J186" s="42"/>
      <c r="K186" s="42"/>
      <c r="L186" s="42"/>
      <c r="M186" s="42"/>
      <c r="N186" s="42"/>
      <c r="O186" s="42"/>
      <c r="P186" s="42"/>
      <c r="Q186" s="42"/>
      <c r="R186" s="42"/>
      <c r="S186" s="42"/>
      <c r="T186" s="138"/>
      <c r="U186" s="43"/>
      <c r="V186" s="138"/>
      <c r="W186" s="138"/>
      <c r="X186" s="138"/>
      <c r="Y186" s="138"/>
      <c r="Z186" s="42"/>
      <c r="AA186" s="54"/>
      <c r="AB186" s="29"/>
      <c r="AC186" s="29"/>
      <c r="AD186" s="29"/>
      <c r="AE186" s="29"/>
      <c r="AF186" s="42"/>
      <c r="AG186" s="42"/>
      <c r="AH186" s="93"/>
      <c r="AI186" s="42"/>
      <c r="AJ186" s="94"/>
    </row>
    <row r="187" spans="1:37" s="82" customFormat="1" ht="63" customHeight="1">
      <c r="A187" s="26">
        <v>14</v>
      </c>
      <c r="B187" s="100" t="s">
        <v>166</v>
      </c>
      <c r="C187" s="65"/>
      <c r="D187" s="99"/>
      <c r="E187" s="99"/>
      <c r="F187" s="29">
        <v>60.15</v>
      </c>
      <c r="G187" s="29">
        <f>30538.1+V187</f>
        <v>181508.02274000001</v>
      </c>
      <c r="H187" s="42"/>
      <c r="I187" s="42"/>
      <c r="J187" s="42"/>
      <c r="K187" s="42"/>
      <c r="L187" s="42"/>
      <c r="M187" s="42"/>
      <c r="N187" s="42"/>
      <c r="O187" s="42"/>
      <c r="P187" s="42"/>
      <c r="Q187" s="42"/>
      <c r="R187" s="42"/>
      <c r="S187" s="42"/>
      <c r="T187" s="138"/>
      <c r="U187" s="29">
        <v>60.15</v>
      </c>
      <c r="V187" s="29">
        <v>150969.92274000001</v>
      </c>
      <c r="W187" s="29"/>
      <c r="X187" s="95">
        <v>140402.02815</v>
      </c>
      <c r="Y187" s="95">
        <f>V187-X187</f>
        <v>10567.894590000011</v>
      </c>
      <c r="Z187" s="42"/>
      <c r="AA187" s="42"/>
      <c r="AB187" s="138"/>
      <c r="AC187" s="138"/>
      <c r="AD187" s="138"/>
      <c r="AE187" s="138"/>
      <c r="AF187" s="42"/>
      <c r="AG187" s="42"/>
      <c r="AH187" s="93"/>
      <c r="AI187" s="42"/>
      <c r="AJ187" s="94"/>
      <c r="AK187" s="96">
        <v>30538.12988</v>
      </c>
    </row>
    <row r="188" spans="1:37" s="82" customFormat="1" ht="65.25" customHeight="1">
      <c r="A188" s="26">
        <v>15</v>
      </c>
      <c r="B188" s="100" t="s">
        <v>167</v>
      </c>
      <c r="C188" s="27"/>
      <c r="D188" s="32"/>
      <c r="E188" s="32"/>
      <c r="F188" s="29">
        <v>69.900000000000006</v>
      </c>
      <c r="G188" s="95">
        <f>28530+V188</f>
        <v>65674.763399999996</v>
      </c>
      <c r="H188" s="42"/>
      <c r="I188" s="42"/>
      <c r="J188" s="42"/>
      <c r="K188" s="42"/>
      <c r="L188" s="42"/>
      <c r="M188" s="42"/>
      <c r="N188" s="42"/>
      <c r="O188" s="42"/>
      <c r="P188" s="42"/>
      <c r="Q188" s="42"/>
      <c r="R188" s="42"/>
      <c r="S188" s="42"/>
      <c r="T188" s="138"/>
      <c r="U188" s="29">
        <v>69.900000000000006</v>
      </c>
      <c r="V188" s="29">
        <v>37144.763400000003</v>
      </c>
      <c r="W188" s="29"/>
      <c r="X188" s="95">
        <f>V188</f>
        <v>37144.763400000003</v>
      </c>
      <c r="Y188" s="29"/>
      <c r="Z188" s="42"/>
      <c r="AA188" s="42"/>
      <c r="AB188" s="42"/>
      <c r="AC188" s="42"/>
      <c r="AD188" s="42"/>
      <c r="AE188" s="42"/>
      <c r="AF188" s="42"/>
      <c r="AG188" s="42"/>
      <c r="AH188" s="93"/>
      <c r="AI188" s="42"/>
      <c r="AJ188" s="94"/>
      <c r="AK188" s="101">
        <v>28530</v>
      </c>
    </row>
    <row r="189" spans="1:37" s="82" customFormat="1" ht="73.5" customHeight="1">
      <c r="A189" s="26">
        <v>16</v>
      </c>
      <c r="B189" s="100" t="s">
        <v>168</v>
      </c>
      <c r="C189" s="27"/>
      <c r="D189" s="32"/>
      <c r="E189" s="32"/>
      <c r="F189" s="29">
        <v>69.900000000000006</v>
      </c>
      <c r="G189" s="95">
        <f>18520+V189</f>
        <v>65644.468389999995</v>
      </c>
      <c r="H189" s="42"/>
      <c r="I189" s="42"/>
      <c r="J189" s="42"/>
      <c r="K189" s="42"/>
      <c r="L189" s="42"/>
      <c r="M189" s="42"/>
      <c r="N189" s="42"/>
      <c r="O189" s="42"/>
      <c r="P189" s="42"/>
      <c r="Q189" s="42"/>
      <c r="R189" s="42"/>
      <c r="S189" s="42"/>
      <c r="T189" s="138"/>
      <c r="U189" s="29">
        <v>69.900000000000006</v>
      </c>
      <c r="V189" s="29">
        <v>47124.468390000002</v>
      </c>
      <c r="W189" s="29"/>
      <c r="X189" s="95">
        <f>V189</f>
        <v>47124.468390000002</v>
      </c>
      <c r="Y189" s="138"/>
      <c r="Z189" s="42"/>
      <c r="AA189" s="138"/>
      <c r="AB189" s="29"/>
      <c r="AC189" s="29"/>
      <c r="AD189" s="29"/>
      <c r="AE189" s="29"/>
      <c r="AF189" s="42" t="s">
        <v>115</v>
      </c>
      <c r="AG189" s="42" t="s">
        <v>48</v>
      </c>
      <c r="AH189" s="93"/>
      <c r="AI189" s="42"/>
      <c r="AJ189" s="94"/>
      <c r="AK189" s="101">
        <v>18520</v>
      </c>
    </row>
    <row r="190" spans="1:37" s="82" customFormat="1" ht="65.25" customHeight="1">
      <c r="A190" s="26">
        <v>17</v>
      </c>
      <c r="B190" s="100" t="s">
        <v>169</v>
      </c>
      <c r="C190" s="38"/>
      <c r="D190" s="32"/>
      <c r="E190" s="32"/>
      <c r="F190" s="29">
        <v>66.2</v>
      </c>
      <c r="G190" s="95">
        <f>13396.62055+V190</f>
        <v>63566.332900000001</v>
      </c>
      <c r="H190" s="42"/>
      <c r="I190" s="42"/>
      <c r="J190" s="42"/>
      <c r="K190" s="42"/>
      <c r="L190" s="42"/>
      <c r="M190" s="42"/>
      <c r="N190" s="42"/>
      <c r="O190" s="42"/>
      <c r="P190" s="42"/>
      <c r="Q190" s="42"/>
      <c r="R190" s="42"/>
      <c r="S190" s="42"/>
      <c r="T190" s="138"/>
      <c r="U190" s="29">
        <v>66.2</v>
      </c>
      <c r="V190" s="29">
        <f>45631.3329+5000-461.62055</f>
        <v>50169.712350000002</v>
      </c>
      <c r="W190" s="29"/>
      <c r="X190" s="95">
        <f>V190</f>
        <v>50169.712350000002</v>
      </c>
      <c r="Y190" s="138"/>
      <c r="Z190" s="42"/>
      <c r="AA190" s="42"/>
      <c r="AB190" s="138"/>
      <c r="AC190" s="138"/>
      <c r="AD190" s="138"/>
      <c r="AE190" s="138"/>
      <c r="AF190" s="42"/>
      <c r="AG190" s="42" t="s">
        <v>62</v>
      </c>
      <c r="AH190" s="93"/>
      <c r="AI190" s="42"/>
      <c r="AJ190" s="94"/>
      <c r="AK190" s="101">
        <v>13396.62055</v>
      </c>
    </row>
    <row r="191" spans="1:37" s="82" customFormat="1" ht="64.5" customHeight="1">
      <c r="A191" s="26">
        <v>18</v>
      </c>
      <c r="B191" s="100" t="s">
        <v>170</v>
      </c>
      <c r="C191" s="38"/>
      <c r="D191" s="32"/>
      <c r="E191" s="32"/>
      <c r="F191" s="29">
        <v>78.2</v>
      </c>
      <c r="G191" s="95">
        <f>28620+V191</f>
        <v>100410.93807</v>
      </c>
      <c r="H191" s="42"/>
      <c r="I191" s="42"/>
      <c r="J191" s="42"/>
      <c r="K191" s="42"/>
      <c r="L191" s="42"/>
      <c r="M191" s="42"/>
      <c r="N191" s="42"/>
      <c r="O191" s="42"/>
      <c r="P191" s="42"/>
      <c r="Q191" s="42"/>
      <c r="R191" s="42"/>
      <c r="S191" s="42"/>
      <c r="T191" s="138"/>
      <c r="U191" s="29">
        <v>78.2</v>
      </c>
      <c r="V191" s="95">
        <v>71790.938070000004</v>
      </c>
      <c r="W191" s="29"/>
      <c r="X191" s="95">
        <f>V191</f>
        <v>71790.938070000004</v>
      </c>
      <c r="Y191" s="42"/>
      <c r="Z191" s="42"/>
      <c r="AA191" s="42"/>
      <c r="AB191" s="42"/>
      <c r="AC191" s="42"/>
      <c r="AD191" s="42"/>
      <c r="AE191" s="42"/>
      <c r="AF191" s="42"/>
      <c r="AG191" s="42"/>
      <c r="AH191" s="93"/>
      <c r="AI191" s="42"/>
      <c r="AJ191" s="94"/>
      <c r="AK191" s="101">
        <v>28620</v>
      </c>
    </row>
    <row r="192" spans="1:37" s="82" customFormat="1" ht="69.75" hidden="1" customHeight="1">
      <c r="A192" s="66">
        <v>21</v>
      </c>
      <c r="B192" s="100" t="s">
        <v>171</v>
      </c>
      <c r="C192" s="38"/>
      <c r="D192" s="32"/>
      <c r="E192" s="32"/>
      <c r="F192" s="29"/>
      <c r="G192" s="95"/>
      <c r="H192" s="42"/>
      <c r="I192" s="42"/>
      <c r="J192" s="42"/>
      <c r="K192" s="42"/>
      <c r="L192" s="42"/>
      <c r="M192" s="42"/>
      <c r="N192" s="42"/>
      <c r="O192" s="42"/>
      <c r="P192" s="42"/>
      <c r="Q192" s="42"/>
      <c r="R192" s="42"/>
      <c r="S192" s="42"/>
      <c r="T192" s="138"/>
      <c r="U192" s="29"/>
      <c r="V192" s="29" t="s">
        <v>115</v>
      </c>
      <c r="W192" s="29"/>
      <c r="X192" s="95"/>
      <c r="Y192" s="42"/>
      <c r="Z192" s="42"/>
      <c r="AA192" s="29"/>
      <c r="AB192" s="29"/>
      <c r="AC192" s="42"/>
      <c r="AD192" s="29"/>
      <c r="AE192" s="42"/>
      <c r="AF192" s="42"/>
      <c r="AG192" s="29">
        <f>F192</f>
        <v>0</v>
      </c>
      <c r="AH192" s="29">
        <f>G192</f>
        <v>0</v>
      </c>
      <c r="AI192" s="138"/>
      <c r="AJ192" s="51">
        <f>AH192</f>
        <v>0</v>
      </c>
    </row>
    <row r="193" spans="1:37" s="82" customFormat="1" ht="51" hidden="1" customHeight="1">
      <c r="A193" s="102">
        <v>22</v>
      </c>
      <c r="B193" s="100" t="s">
        <v>172</v>
      </c>
      <c r="C193" s="38"/>
      <c r="D193" s="32"/>
      <c r="E193" s="32"/>
      <c r="F193" s="29"/>
      <c r="G193" s="95"/>
      <c r="H193" s="42"/>
      <c r="I193" s="42"/>
      <c r="J193" s="42"/>
      <c r="K193" s="42"/>
      <c r="L193" s="42"/>
      <c r="M193" s="42"/>
      <c r="N193" s="42"/>
      <c r="O193" s="42"/>
      <c r="P193" s="42"/>
      <c r="Q193" s="42"/>
      <c r="R193" s="42"/>
      <c r="S193" s="42"/>
      <c r="T193" s="138"/>
      <c r="U193" s="29"/>
      <c r="V193" s="29"/>
      <c r="W193" s="29"/>
      <c r="X193" s="95"/>
      <c r="Y193" s="42"/>
      <c r="Z193" s="42"/>
      <c r="AA193" s="29"/>
      <c r="AB193" s="29"/>
      <c r="AC193" s="42" t="s">
        <v>62</v>
      </c>
      <c r="AD193" s="29"/>
      <c r="AE193" s="42"/>
      <c r="AF193" s="42"/>
      <c r="AG193" s="29">
        <f>F193</f>
        <v>0</v>
      </c>
      <c r="AH193" s="29">
        <f>G193</f>
        <v>0</v>
      </c>
      <c r="AI193" s="138"/>
      <c r="AJ193" s="51">
        <f>AH193</f>
        <v>0</v>
      </c>
    </row>
    <row r="194" spans="1:37" s="104" customFormat="1" ht="27.75" customHeight="1">
      <c r="A194" s="146" t="s">
        <v>173</v>
      </c>
      <c r="B194" s="146"/>
      <c r="C194" s="38"/>
      <c r="D194" s="32"/>
      <c r="E194" s="32"/>
      <c r="F194" s="29"/>
      <c r="G194" s="103"/>
      <c r="H194" s="42"/>
      <c r="I194" s="42"/>
      <c r="J194" s="42"/>
      <c r="K194" s="42"/>
      <c r="L194" s="42"/>
      <c r="M194" s="42"/>
      <c r="N194" s="42"/>
      <c r="O194" s="42"/>
      <c r="P194" s="42"/>
      <c r="Q194" s="42"/>
      <c r="R194" s="42"/>
      <c r="S194" s="42"/>
      <c r="T194" s="138"/>
      <c r="U194" s="29"/>
      <c r="V194" s="29"/>
      <c r="W194" s="29"/>
      <c r="X194" s="95"/>
      <c r="Y194" s="42"/>
      <c r="Z194" s="42"/>
      <c r="AA194" s="42"/>
      <c r="AB194" s="42"/>
      <c r="AC194" s="42"/>
      <c r="AD194" s="42"/>
      <c r="AE194" s="42"/>
      <c r="AF194" s="42"/>
      <c r="AG194" s="42"/>
      <c r="AH194" s="93"/>
      <c r="AI194" s="42"/>
      <c r="AJ194" s="94"/>
    </row>
    <row r="195" spans="1:37" s="104" customFormat="1" ht="65.25" customHeight="1">
      <c r="A195" s="26">
        <v>19</v>
      </c>
      <c r="B195" s="100" t="s">
        <v>174</v>
      </c>
      <c r="C195" s="22"/>
      <c r="D195" s="22"/>
      <c r="E195" s="105"/>
      <c r="F195" s="29">
        <v>160.69999999999999</v>
      </c>
      <c r="G195" s="95">
        <f>27845.37945+V195</f>
        <v>46367.12242</v>
      </c>
      <c r="H195" s="42"/>
      <c r="I195" s="42"/>
      <c r="J195" s="42"/>
      <c r="K195" s="42"/>
      <c r="L195" s="42"/>
      <c r="M195" s="42"/>
      <c r="N195" s="42"/>
      <c r="O195" s="42"/>
      <c r="P195" s="42"/>
      <c r="Q195" s="42"/>
      <c r="R195" s="42"/>
      <c r="S195" s="42"/>
      <c r="T195" s="138"/>
      <c r="U195" s="29">
        <v>160.69999999999999</v>
      </c>
      <c r="V195" s="95">
        <v>18521.742969999999</v>
      </c>
      <c r="W195" s="29"/>
      <c r="X195" s="95">
        <f>V195</f>
        <v>18521.742969999999</v>
      </c>
      <c r="Y195" s="106"/>
      <c r="Z195" s="22"/>
      <c r="AA195" s="22"/>
      <c r="AB195" s="22"/>
      <c r="AC195" s="22"/>
      <c r="AD195" s="22"/>
      <c r="AE195" s="22"/>
      <c r="AF195" s="22"/>
      <c r="AG195" s="22"/>
      <c r="AH195" s="136"/>
      <c r="AI195" s="22"/>
      <c r="AJ195" s="23"/>
      <c r="AK195" s="101">
        <v>27845.37945</v>
      </c>
    </row>
    <row r="196" spans="1:37" s="104" customFormat="1" ht="27.75" customHeight="1">
      <c r="A196" s="146" t="s">
        <v>129</v>
      </c>
      <c r="B196" s="146"/>
      <c r="C196" s="22"/>
      <c r="D196" s="22"/>
      <c r="E196" s="22"/>
      <c r="F196" s="22"/>
      <c r="G196" s="22"/>
      <c r="H196" s="22"/>
      <c r="I196" s="22"/>
      <c r="J196" s="22"/>
      <c r="K196" s="22"/>
      <c r="L196" s="22"/>
      <c r="M196" s="22"/>
      <c r="N196" s="22"/>
      <c r="O196" s="22"/>
      <c r="P196" s="22"/>
      <c r="Q196" s="22"/>
      <c r="R196" s="22"/>
      <c r="S196" s="22"/>
      <c r="T196" s="22"/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F196" s="22"/>
      <c r="AG196" s="22"/>
      <c r="AH196" s="136"/>
      <c r="AI196" s="22"/>
      <c r="AJ196" s="23"/>
    </row>
    <row r="197" spans="1:37" s="104" customFormat="1" ht="48.75" customHeight="1" thickBot="1">
      <c r="A197" s="107">
        <v>20</v>
      </c>
      <c r="B197" s="108" t="s">
        <v>175</v>
      </c>
      <c r="C197" s="109"/>
      <c r="D197" s="110"/>
      <c r="E197" s="111"/>
      <c r="F197" s="112">
        <v>88</v>
      </c>
      <c r="G197" s="112">
        <f>21923.4+V197</f>
        <v>50519.12285</v>
      </c>
      <c r="H197" s="110"/>
      <c r="I197" s="110"/>
      <c r="J197" s="110"/>
      <c r="K197" s="110"/>
      <c r="L197" s="110"/>
      <c r="M197" s="110"/>
      <c r="N197" s="110"/>
      <c r="O197" s="110"/>
      <c r="P197" s="110"/>
      <c r="Q197" s="110"/>
      <c r="R197" s="110"/>
      <c r="S197" s="110"/>
      <c r="T197" s="111"/>
      <c r="U197" s="112">
        <f>F197</f>
        <v>88</v>
      </c>
      <c r="V197" s="112">
        <f>X197+Y197</f>
        <v>28595.722850000002</v>
      </c>
      <c r="W197" s="112"/>
      <c r="X197" s="113">
        <v>26879.979480000002</v>
      </c>
      <c r="Y197" s="113">
        <v>1715.7433699999999</v>
      </c>
      <c r="Z197" s="110" t="s">
        <v>115</v>
      </c>
      <c r="AA197" s="110"/>
      <c r="AB197" s="110"/>
      <c r="AC197" s="110" t="s">
        <v>48</v>
      </c>
      <c r="AD197" s="110"/>
      <c r="AE197" s="110"/>
      <c r="AF197" s="110"/>
      <c r="AG197" s="110"/>
      <c r="AH197" s="114"/>
      <c r="AI197" s="110"/>
      <c r="AJ197" s="115"/>
      <c r="AK197" s="96">
        <v>21923.4</v>
      </c>
    </row>
    <row r="198" spans="1:37" s="104" customFormat="1" ht="29.25" hidden="1" customHeight="1">
      <c r="A198" s="147"/>
      <c r="B198" s="147"/>
      <c r="C198" s="147"/>
      <c r="D198" s="116"/>
      <c r="E198" s="117"/>
      <c r="F198" s="118"/>
      <c r="G198" s="119"/>
      <c r="H198" s="120"/>
      <c r="I198" s="116"/>
      <c r="J198" s="116"/>
      <c r="K198" s="116"/>
      <c r="L198" s="116"/>
      <c r="M198" s="116"/>
      <c r="N198" s="116"/>
      <c r="O198" s="116"/>
      <c r="P198" s="116"/>
      <c r="Q198" s="116"/>
      <c r="R198" s="116"/>
      <c r="S198" s="116"/>
      <c r="T198" s="117"/>
      <c r="U198" s="118"/>
      <c r="V198" s="119"/>
      <c r="W198" s="119"/>
      <c r="X198" s="119"/>
      <c r="Y198" s="119"/>
      <c r="Z198" s="116"/>
      <c r="AA198" s="116"/>
      <c r="AB198" s="116"/>
      <c r="AC198" s="116"/>
      <c r="AD198" s="116"/>
      <c r="AE198" s="116"/>
      <c r="AF198" s="116"/>
      <c r="AG198" s="116"/>
      <c r="AH198" s="121"/>
      <c r="AI198" s="122"/>
      <c r="AJ198" s="122"/>
    </row>
    <row r="199" spans="1:37" s="104" customFormat="1">
      <c r="A199" s="123"/>
      <c r="H199" s="12"/>
    </row>
    <row r="200" spans="1:37" s="104" customFormat="1">
      <c r="A200" s="123"/>
      <c r="H200" s="12"/>
    </row>
    <row r="201" spans="1:37" s="104" customFormat="1">
      <c r="A201" s="123"/>
      <c r="H201" s="12"/>
    </row>
    <row r="202" spans="1:37" s="104" customFormat="1">
      <c r="A202" s="123"/>
      <c r="H202" s="12"/>
    </row>
    <row r="203" spans="1:37" s="104" customFormat="1">
      <c r="A203" s="123"/>
      <c r="H203" s="12"/>
    </row>
    <row r="204" spans="1:37" s="104" customFormat="1">
      <c r="A204" s="123"/>
      <c r="H204" s="12"/>
    </row>
    <row r="205" spans="1:37" s="104" customFormat="1">
      <c r="A205" s="123"/>
    </row>
    <row r="206" spans="1:37" s="104" customFormat="1">
      <c r="A206" s="123"/>
    </row>
    <row r="207" spans="1:37" s="104" customFormat="1">
      <c r="A207" s="123"/>
    </row>
    <row r="208" spans="1:37" s="104" customFormat="1">
      <c r="A208" s="123"/>
    </row>
    <row r="209" spans="1:1" s="104" customFormat="1">
      <c r="A209" s="123"/>
    </row>
    <row r="210" spans="1:1" s="104" customFormat="1">
      <c r="A210" s="123"/>
    </row>
    <row r="211" spans="1:1" s="104" customFormat="1">
      <c r="A211" s="123"/>
    </row>
    <row r="212" spans="1:1" s="104" customFormat="1">
      <c r="A212" s="123"/>
    </row>
    <row r="213" spans="1:1" s="104" customFormat="1">
      <c r="A213" s="123"/>
    </row>
    <row r="214" spans="1:1" s="104" customFormat="1">
      <c r="A214" s="123"/>
    </row>
    <row r="215" spans="1:1" s="104" customFormat="1">
      <c r="A215" s="123"/>
    </row>
    <row r="216" spans="1:1" s="104" customFormat="1">
      <c r="A216" s="123"/>
    </row>
    <row r="217" spans="1:1" s="104" customFormat="1">
      <c r="A217" s="123"/>
    </row>
    <row r="218" spans="1:1" s="104" customFormat="1">
      <c r="A218" s="123"/>
    </row>
    <row r="219" spans="1:1" s="104" customFormat="1">
      <c r="A219" s="123"/>
    </row>
    <row r="220" spans="1:1" s="104" customFormat="1">
      <c r="A220" s="123"/>
    </row>
    <row r="221" spans="1:1" s="104" customFormat="1">
      <c r="A221" s="123"/>
    </row>
    <row r="222" spans="1:1" s="104" customFormat="1">
      <c r="A222" s="123"/>
    </row>
    <row r="223" spans="1:1" s="104" customFormat="1">
      <c r="A223" s="123"/>
    </row>
    <row r="224" spans="1:1" s="104" customFormat="1">
      <c r="A224" s="123"/>
    </row>
    <row r="225" spans="1:1" s="104" customFormat="1">
      <c r="A225" s="123"/>
    </row>
    <row r="226" spans="1:1" s="104" customFormat="1">
      <c r="A226" s="123"/>
    </row>
    <row r="227" spans="1:1" s="104" customFormat="1">
      <c r="A227" s="123"/>
    </row>
    <row r="228" spans="1:1" s="104" customFormat="1">
      <c r="A228" s="123"/>
    </row>
    <row r="229" spans="1:1" s="104" customFormat="1">
      <c r="A229" s="123"/>
    </row>
    <row r="230" spans="1:1" s="104" customFormat="1">
      <c r="A230" s="123"/>
    </row>
    <row r="231" spans="1:1" s="104" customFormat="1">
      <c r="A231" s="123"/>
    </row>
    <row r="232" spans="1:1" s="104" customFormat="1">
      <c r="A232" s="123"/>
    </row>
    <row r="233" spans="1:1" s="104" customFormat="1">
      <c r="A233" s="123"/>
    </row>
    <row r="234" spans="1:1" s="104" customFormat="1">
      <c r="A234" s="123"/>
    </row>
    <row r="235" spans="1:1" s="104" customFormat="1">
      <c r="A235" s="123"/>
    </row>
    <row r="236" spans="1:1" s="104" customFormat="1">
      <c r="A236" s="123"/>
    </row>
    <row r="237" spans="1:1" s="104" customFormat="1">
      <c r="A237" s="123"/>
    </row>
    <row r="238" spans="1:1" s="104" customFormat="1">
      <c r="A238" s="123"/>
    </row>
    <row r="239" spans="1:1" s="104" customFormat="1">
      <c r="A239" s="123"/>
    </row>
    <row r="240" spans="1:1" s="104" customFormat="1">
      <c r="A240" s="123"/>
    </row>
    <row r="241" spans="1:1" s="104" customFormat="1">
      <c r="A241" s="123"/>
    </row>
    <row r="242" spans="1:1" s="104" customFormat="1">
      <c r="A242" s="123"/>
    </row>
    <row r="243" spans="1:1" s="104" customFormat="1">
      <c r="A243" s="123"/>
    </row>
    <row r="244" spans="1:1" s="104" customFormat="1">
      <c r="A244" s="123"/>
    </row>
    <row r="245" spans="1:1" s="104" customFormat="1">
      <c r="A245" s="123"/>
    </row>
    <row r="246" spans="1:1" s="104" customFormat="1">
      <c r="A246" s="123"/>
    </row>
    <row r="247" spans="1:1" s="104" customFormat="1">
      <c r="A247" s="123"/>
    </row>
    <row r="248" spans="1:1" s="104" customFormat="1">
      <c r="A248" s="123"/>
    </row>
    <row r="249" spans="1:1" s="104" customFormat="1">
      <c r="A249" s="123"/>
    </row>
    <row r="250" spans="1:1" s="104" customFormat="1">
      <c r="A250" s="123"/>
    </row>
    <row r="251" spans="1:1" s="104" customFormat="1">
      <c r="A251" s="123"/>
    </row>
    <row r="252" spans="1:1" s="104" customFormat="1">
      <c r="A252" s="123"/>
    </row>
    <row r="253" spans="1:1" s="104" customFormat="1">
      <c r="A253" s="123"/>
    </row>
    <row r="254" spans="1:1" s="104" customFormat="1">
      <c r="A254" s="123"/>
    </row>
    <row r="255" spans="1:1" s="104" customFormat="1">
      <c r="A255" s="123"/>
    </row>
    <row r="256" spans="1:1" s="104" customFormat="1">
      <c r="A256" s="123"/>
    </row>
    <row r="257" spans="1:1" s="104" customFormat="1">
      <c r="A257" s="123"/>
    </row>
    <row r="258" spans="1:1" s="104" customFormat="1">
      <c r="A258" s="123"/>
    </row>
    <row r="259" spans="1:1" s="104" customFormat="1">
      <c r="A259" s="123"/>
    </row>
    <row r="260" spans="1:1" s="104" customFormat="1">
      <c r="A260" s="123"/>
    </row>
    <row r="261" spans="1:1" s="104" customFormat="1">
      <c r="A261" s="123"/>
    </row>
    <row r="262" spans="1:1" s="104" customFormat="1">
      <c r="A262" s="123"/>
    </row>
    <row r="263" spans="1:1" s="104" customFormat="1">
      <c r="A263" s="123"/>
    </row>
    <row r="264" spans="1:1" s="104" customFormat="1">
      <c r="A264" s="123"/>
    </row>
    <row r="265" spans="1:1" s="104" customFormat="1">
      <c r="A265" s="123"/>
    </row>
    <row r="266" spans="1:1" s="104" customFormat="1">
      <c r="A266" s="123"/>
    </row>
    <row r="267" spans="1:1" s="104" customFormat="1">
      <c r="A267" s="123"/>
    </row>
    <row r="268" spans="1:1" s="104" customFormat="1">
      <c r="A268" s="123"/>
    </row>
    <row r="269" spans="1:1" s="104" customFormat="1">
      <c r="A269" s="123"/>
    </row>
    <row r="270" spans="1:1" s="104" customFormat="1">
      <c r="A270" s="123"/>
    </row>
    <row r="271" spans="1:1" s="104" customFormat="1">
      <c r="A271" s="123"/>
    </row>
    <row r="272" spans="1:1" s="104" customFormat="1">
      <c r="A272" s="123"/>
    </row>
    <row r="273" spans="1:1" s="104" customFormat="1">
      <c r="A273" s="123"/>
    </row>
    <row r="274" spans="1:1" s="104" customFormat="1">
      <c r="A274" s="123"/>
    </row>
    <row r="275" spans="1:1" s="104" customFormat="1">
      <c r="A275" s="123"/>
    </row>
    <row r="276" spans="1:1" s="104" customFormat="1">
      <c r="A276" s="123"/>
    </row>
    <row r="277" spans="1:1" s="104" customFormat="1">
      <c r="A277" s="123"/>
    </row>
    <row r="278" spans="1:1" s="104" customFormat="1">
      <c r="A278" s="123"/>
    </row>
    <row r="279" spans="1:1" s="104" customFormat="1">
      <c r="A279" s="123"/>
    </row>
    <row r="280" spans="1:1" s="104" customFormat="1">
      <c r="A280" s="123"/>
    </row>
    <row r="281" spans="1:1" s="104" customFormat="1">
      <c r="A281" s="123"/>
    </row>
    <row r="282" spans="1:1" s="104" customFormat="1">
      <c r="A282" s="123"/>
    </row>
    <row r="283" spans="1:1" s="104" customFormat="1">
      <c r="A283" s="123"/>
    </row>
    <row r="284" spans="1:1" s="104" customFormat="1">
      <c r="A284" s="123"/>
    </row>
    <row r="285" spans="1:1" s="104" customFormat="1">
      <c r="A285" s="123"/>
    </row>
    <row r="286" spans="1:1" s="104" customFormat="1">
      <c r="A286" s="123"/>
    </row>
    <row r="287" spans="1:1" s="104" customFormat="1">
      <c r="A287" s="123"/>
    </row>
    <row r="288" spans="1:1" s="104" customFormat="1">
      <c r="A288" s="123"/>
    </row>
    <row r="289" spans="1:1" s="104" customFormat="1">
      <c r="A289" s="123"/>
    </row>
    <row r="290" spans="1:1" s="104" customFormat="1">
      <c r="A290" s="123"/>
    </row>
    <row r="291" spans="1:1" s="104" customFormat="1">
      <c r="A291" s="123"/>
    </row>
    <row r="292" spans="1:1" s="104" customFormat="1">
      <c r="A292" s="123"/>
    </row>
    <row r="293" spans="1:1" s="104" customFormat="1">
      <c r="A293" s="123"/>
    </row>
    <row r="294" spans="1:1" s="104" customFormat="1">
      <c r="A294" s="123"/>
    </row>
    <row r="295" spans="1:1" s="104" customFormat="1">
      <c r="A295" s="123"/>
    </row>
    <row r="296" spans="1:1" s="104" customFormat="1">
      <c r="A296" s="123"/>
    </row>
    <row r="297" spans="1:1" s="104" customFormat="1">
      <c r="A297" s="123"/>
    </row>
    <row r="298" spans="1:1" s="104" customFormat="1">
      <c r="A298" s="123"/>
    </row>
    <row r="299" spans="1:1" s="104" customFormat="1">
      <c r="A299" s="123"/>
    </row>
    <row r="300" spans="1:1" s="104" customFormat="1">
      <c r="A300" s="123"/>
    </row>
    <row r="301" spans="1:1" s="104" customFormat="1">
      <c r="A301" s="123"/>
    </row>
    <row r="302" spans="1:1" s="104" customFormat="1">
      <c r="A302" s="123"/>
    </row>
    <row r="303" spans="1:1" s="104" customFormat="1">
      <c r="A303" s="123"/>
    </row>
    <row r="304" spans="1:1" s="104" customFormat="1">
      <c r="A304" s="123"/>
    </row>
    <row r="305" spans="1:1" s="104" customFormat="1">
      <c r="A305" s="123"/>
    </row>
    <row r="306" spans="1:1" s="104" customFormat="1">
      <c r="A306" s="123"/>
    </row>
    <row r="307" spans="1:1" s="104" customFormat="1">
      <c r="A307" s="123"/>
    </row>
    <row r="308" spans="1:1" s="104" customFormat="1">
      <c r="A308" s="123"/>
    </row>
    <row r="309" spans="1:1" s="104" customFormat="1">
      <c r="A309" s="123"/>
    </row>
    <row r="310" spans="1:1" s="104" customFormat="1">
      <c r="A310" s="123"/>
    </row>
    <row r="311" spans="1:1" s="104" customFormat="1">
      <c r="A311" s="123"/>
    </row>
    <row r="312" spans="1:1" s="104" customFormat="1">
      <c r="A312" s="123"/>
    </row>
    <row r="313" spans="1:1" s="104" customFormat="1">
      <c r="A313" s="123"/>
    </row>
    <row r="314" spans="1:1" s="104" customFormat="1">
      <c r="A314" s="123"/>
    </row>
    <row r="315" spans="1:1" s="104" customFormat="1">
      <c r="A315" s="123"/>
    </row>
    <row r="316" spans="1:1" s="104" customFormat="1">
      <c r="A316" s="123"/>
    </row>
    <row r="317" spans="1:1" s="104" customFormat="1">
      <c r="A317" s="123"/>
    </row>
    <row r="318" spans="1:1" s="104" customFormat="1">
      <c r="A318" s="123"/>
    </row>
    <row r="319" spans="1:1" s="104" customFormat="1">
      <c r="A319" s="123"/>
    </row>
    <row r="320" spans="1:1" s="104" customFormat="1">
      <c r="A320" s="123"/>
    </row>
    <row r="321" spans="1:1" s="104" customFormat="1">
      <c r="A321" s="123"/>
    </row>
    <row r="322" spans="1:1" s="104" customFormat="1">
      <c r="A322" s="123"/>
    </row>
    <row r="323" spans="1:1" s="104" customFormat="1">
      <c r="A323" s="123"/>
    </row>
    <row r="324" spans="1:1" s="104" customFormat="1">
      <c r="A324" s="123"/>
    </row>
    <row r="325" spans="1:1" s="104" customFormat="1">
      <c r="A325" s="123"/>
    </row>
    <row r="326" spans="1:1" s="104" customFormat="1">
      <c r="A326" s="123"/>
    </row>
    <row r="327" spans="1:1" s="104" customFormat="1">
      <c r="A327" s="123"/>
    </row>
    <row r="328" spans="1:1" s="104" customFormat="1">
      <c r="A328" s="123"/>
    </row>
    <row r="329" spans="1:1" s="104" customFormat="1">
      <c r="A329" s="123"/>
    </row>
    <row r="330" spans="1:1" s="104" customFormat="1">
      <c r="A330" s="123"/>
    </row>
    <row r="331" spans="1:1" s="104" customFormat="1">
      <c r="A331" s="123"/>
    </row>
    <row r="332" spans="1:1" s="104" customFormat="1">
      <c r="A332" s="123"/>
    </row>
    <row r="333" spans="1:1" s="104" customFormat="1">
      <c r="A333" s="123"/>
    </row>
    <row r="334" spans="1:1" s="104" customFormat="1">
      <c r="A334" s="123"/>
    </row>
    <row r="335" spans="1:1" s="104" customFormat="1">
      <c r="A335" s="123"/>
    </row>
    <row r="336" spans="1:1" s="104" customFormat="1">
      <c r="A336" s="123"/>
    </row>
    <row r="337" spans="1:1" s="104" customFormat="1">
      <c r="A337" s="123"/>
    </row>
    <row r="338" spans="1:1" s="104" customFormat="1">
      <c r="A338" s="123"/>
    </row>
    <row r="339" spans="1:1" s="104" customFormat="1">
      <c r="A339" s="123"/>
    </row>
    <row r="340" spans="1:1" s="104" customFormat="1">
      <c r="A340" s="123"/>
    </row>
    <row r="341" spans="1:1" s="104" customFormat="1">
      <c r="A341" s="123"/>
    </row>
    <row r="342" spans="1:1" s="104" customFormat="1">
      <c r="A342" s="123"/>
    </row>
    <row r="343" spans="1:1" s="104" customFormat="1">
      <c r="A343" s="123"/>
    </row>
    <row r="344" spans="1:1" s="104" customFormat="1">
      <c r="A344" s="123"/>
    </row>
    <row r="345" spans="1:1" s="104" customFormat="1">
      <c r="A345" s="123"/>
    </row>
    <row r="346" spans="1:1" s="104" customFormat="1">
      <c r="A346" s="123"/>
    </row>
    <row r="347" spans="1:1" s="104" customFormat="1">
      <c r="A347" s="123"/>
    </row>
    <row r="348" spans="1:1" s="104" customFormat="1">
      <c r="A348" s="123"/>
    </row>
    <row r="349" spans="1:1" s="104" customFormat="1">
      <c r="A349" s="123"/>
    </row>
    <row r="350" spans="1:1" s="104" customFormat="1">
      <c r="A350" s="123"/>
    </row>
    <row r="351" spans="1:1" s="104" customFormat="1">
      <c r="A351" s="123"/>
    </row>
    <row r="352" spans="1:1" s="104" customFormat="1">
      <c r="A352" s="123"/>
    </row>
    <row r="353" spans="1:1" s="104" customFormat="1">
      <c r="A353" s="123"/>
    </row>
    <row r="354" spans="1:1" s="104" customFormat="1">
      <c r="A354" s="123"/>
    </row>
    <row r="355" spans="1:1" s="104" customFormat="1">
      <c r="A355" s="123"/>
    </row>
    <row r="356" spans="1:1" s="104" customFormat="1">
      <c r="A356" s="123"/>
    </row>
    <row r="357" spans="1:1" s="104" customFormat="1">
      <c r="A357" s="123"/>
    </row>
    <row r="358" spans="1:1" s="104" customFormat="1">
      <c r="A358" s="123"/>
    </row>
    <row r="359" spans="1:1" s="104" customFormat="1">
      <c r="A359" s="123"/>
    </row>
    <row r="360" spans="1:1" s="104" customFormat="1">
      <c r="A360" s="123"/>
    </row>
    <row r="361" spans="1:1" s="104" customFormat="1">
      <c r="A361" s="123"/>
    </row>
    <row r="362" spans="1:1" s="104" customFormat="1">
      <c r="A362" s="123"/>
    </row>
    <row r="363" spans="1:1" s="104" customFormat="1">
      <c r="A363" s="123"/>
    </row>
    <row r="364" spans="1:1" s="104" customFormat="1">
      <c r="A364" s="123"/>
    </row>
    <row r="365" spans="1:1" s="104" customFormat="1">
      <c r="A365" s="123"/>
    </row>
    <row r="366" spans="1:1" s="104" customFormat="1">
      <c r="A366" s="123"/>
    </row>
    <row r="367" spans="1:1" s="104" customFormat="1">
      <c r="A367" s="123"/>
    </row>
    <row r="368" spans="1:1" s="104" customFormat="1">
      <c r="A368" s="123"/>
    </row>
    <row r="369" spans="1:1" s="104" customFormat="1">
      <c r="A369" s="123"/>
    </row>
    <row r="370" spans="1:1" s="104" customFormat="1">
      <c r="A370" s="123"/>
    </row>
    <row r="371" spans="1:1" s="104" customFormat="1">
      <c r="A371" s="123"/>
    </row>
    <row r="372" spans="1:1" s="104" customFormat="1">
      <c r="A372" s="123"/>
    </row>
    <row r="373" spans="1:1" s="104" customFormat="1">
      <c r="A373" s="123"/>
    </row>
    <row r="374" spans="1:1" s="104" customFormat="1">
      <c r="A374" s="123"/>
    </row>
    <row r="375" spans="1:1" s="104" customFormat="1">
      <c r="A375" s="123"/>
    </row>
    <row r="376" spans="1:1" s="104" customFormat="1">
      <c r="A376" s="123"/>
    </row>
    <row r="377" spans="1:1" s="104" customFormat="1">
      <c r="A377" s="123"/>
    </row>
    <row r="378" spans="1:1" s="104" customFormat="1">
      <c r="A378" s="123"/>
    </row>
    <row r="379" spans="1:1" s="104" customFormat="1">
      <c r="A379" s="123"/>
    </row>
    <row r="380" spans="1:1" s="104" customFormat="1">
      <c r="A380" s="123"/>
    </row>
    <row r="381" spans="1:1" s="104" customFormat="1">
      <c r="A381" s="123"/>
    </row>
    <row r="382" spans="1:1" s="104" customFormat="1">
      <c r="A382" s="123"/>
    </row>
    <row r="383" spans="1:1" s="104" customFormat="1">
      <c r="A383" s="123"/>
    </row>
    <row r="384" spans="1:1" s="104" customFormat="1">
      <c r="A384" s="123"/>
    </row>
    <row r="385" spans="1:1" s="104" customFormat="1">
      <c r="A385" s="123"/>
    </row>
    <row r="386" spans="1:1" s="104" customFormat="1">
      <c r="A386" s="123"/>
    </row>
    <row r="387" spans="1:1" s="104" customFormat="1">
      <c r="A387" s="123"/>
    </row>
    <row r="388" spans="1:1" s="104" customFormat="1">
      <c r="A388" s="123"/>
    </row>
    <row r="389" spans="1:1" s="104" customFormat="1">
      <c r="A389" s="123"/>
    </row>
    <row r="390" spans="1:1" s="104" customFormat="1">
      <c r="A390" s="123"/>
    </row>
    <row r="391" spans="1:1" s="104" customFormat="1">
      <c r="A391" s="123"/>
    </row>
    <row r="392" spans="1:1" s="104" customFormat="1">
      <c r="A392" s="123"/>
    </row>
    <row r="393" spans="1:1" s="104" customFormat="1">
      <c r="A393" s="123"/>
    </row>
    <row r="394" spans="1:1" s="104" customFormat="1">
      <c r="A394" s="123"/>
    </row>
    <row r="395" spans="1:1" s="104" customFormat="1">
      <c r="A395" s="123"/>
    </row>
    <row r="396" spans="1:1" s="104" customFormat="1">
      <c r="A396" s="123"/>
    </row>
    <row r="397" spans="1:1" s="104" customFormat="1">
      <c r="A397" s="123"/>
    </row>
    <row r="398" spans="1:1" s="104" customFormat="1">
      <c r="A398" s="123"/>
    </row>
    <row r="399" spans="1:1" s="104" customFormat="1">
      <c r="A399" s="123"/>
    </row>
    <row r="400" spans="1:1" s="104" customFormat="1">
      <c r="A400" s="123"/>
    </row>
    <row r="401" spans="1:1" s="104" customFormat="1">
      <c r="A401" s="123"/>
    </row>
    <row r="402" spans="1:1" s="104" customFormat="1">
      <c r="A402" s="123"/>
    </row>
    <row r="403" spans="1:1" s="104" customFormat="1">
      <c r="A403" s="123"/>
    </row>
    <row r="404" spans="1:1" s="104" customFormat="1">
      <c r="A404" s="123"/>
    </row>
    <row r="405" spans="1:1" s="104" customFormat="1">
      <c r="A405" s="123"/>
    </row>
    <row r="406" spans="1:1" s="104" customFormat="1">
      <c r="A406" s="123"/>
    </row>
    <row r="407" spans="1:1" s="104" customFormat="1">
      <c r="A407" s="123"/>
    </row>
    <row r="408" spans="1:1" s="104" customFormat="1">
      <c r="A408" s="123"/>
    </row>
    <row r="409" spans="1:1" s="104" customFormat="1">
      <c r="A409" s="123"/>
    </row>
    <row r="410" spans="1:1" s="104" customFormat="1">
      <c r="A410" s="123"/>
    </row>
    <row r="411" spans="1:1" s="104" customFormat="1">
      <c r="A411" s="123"/>
    </row>
    <row r="412" spans="1:1" s="104" customFormat="1">
      <c r="A412" s="123"/>
    </row>
    <row r="413" spans="1:1" s="104" customFormat="1">
      <c r="A413" s="123"/>
    </row>
    <row r="414" spans="1:1" s="104" customFormat="1">
      <c r="A414" s="123"/>
    </row>
    <row r="415" spans="1:1" s="104" customFormat="1">
      <c r="A415" s="123"/>
    </row>
    <row r="416" spans="1:1" s="104" customFormat="1">
      <c r="A416" s="123"/>
    </row>
    <row r="417" spans="1:1" s="104" customFormat="1">
      <c r="A417" s="123"/>
    </row>
    <row r="418" spans="1:1" s="104" customFormat="1">
      <c r="A418" s="123"/>
    </row>
    <row r="419" spans="1:1" s="104" customFormat="1">
      <c r="A419" s="123"/>
    </row>
    <row r="420" spans="1:1" s="104" customFormat="1">
      <c r="A420" s="123"/>
    </row>
    <row r="421" spans="1:1" s="104" customFormat="1">
      <c r="A421" s="123"/>
    </row>
    <row r="422" spans="1:1" s="104" customFormat="1">
      <c r="A422" s="123"/>
    </row>
    <row r="423" spans="1:1" s="104" customFormat="1">
      <c r="A423" s="123"/>
    </row>
    <row r="424" spans="1:1" s="104" customFormat="1">
      <c r="A424" s="123"/>
    </row>
    <row r="425" spans="1:1" s="104" customFormat="1">
      <c r="A425" s="123"/>
    </row>
    <row r="426" spans="1:1" s="104" customFormat="1">
      <c r="A426" s="123"/>
    </row>
    <row r="427" spans="1:1" s="104" customFormat="1">
      <c r="A427" s="123"/>
    </row>
    <row r="428" spans="1:1" s="104" customFormat="1">
      <c r="A428" s="123"/>
    </row>
    <row r="429" spans="1:1" s="104" customFormat="1">
      <c r="A429" s="123"/>
    </row>
  </sheetData>
  <mergeCells count="116">
    <mergeCell ref="A13:B13"/>
    <mergeCell ref="Z1:AH1"/>
    <mergeCell ref="A5:A8"/>
    <mergeCell ref="B5:B8"/>
    <mergeCell ref="C5:C8"/>
    <mergeCell ref="D5:D8"/>
    <mergeCell ref="E5:G6"/>
    <mergeCell ref="H5:K5"/>
    <mergeCell ref="L5:O5"/>
    <mergeCell ref="P5:S5"/>
    <mergeCell ref="T5:AJ5"/>
    <mergeCell ref="H6:H8"/>
    <mergeCell ref="I6:K6"/>
    <mergeCell ref="L6:L8"/>
    <mergeCell ref="M6:O6"/>
    <mergeCell ref="P6:P8"/>
    <mergeCell ref="Q6:S6"/>
    <mergeCell ref="T6:Y6"/>
    <mergeCell ref="Z6:AE6"/>
    <mergeCell ref="AF6:AJ6"/>
    <mergeCell ref="AI7:AJ7"/>
    <mergeCell ref="A3:AJ3"/>
    <mergeCell ref="A15:B15"/>
    <mergeCell ref="A17:B17"/>
    <mergeCell ref="A24:B24"/>
    <mergeCell ref="A26:C26"/>
    <mergeCell ref="AB7:AB8"/>
    <mergeCell ref="AC7:AE7"/>
    <mergeCell ref="AF7:AG7"/>
    <mergeCell ref="AH7:AH8"/>
    <mergeCell ref="A10:AH10"/>
    <mergeCell ref="Q7:Q8"/>
    <mergeCell ref="R7:S7"/>
    <mergeCell ref="T7:U7"/>
    <mergeCell ref="V7:V8"/>
    <mergeCell ref="W7:Y7"/>
    <mergeCell ref="Z7:AA7"/>
    <mergeCell ref="E7:F7"/>
    <mergeCell ref="G7:G8"/>
    <mergeCell ref="I7:I8"/>
    <mergeCell ref="J7:K7"/>
    <mergeCell ref="M7:M8"/>
    <mergeCell ref="N7:O7"/>
    <mergeCell ref="B12:C12"/>
    <mergeCell ref="B19:C19"/>
    <mergeCell ref="B11:AH11"/>
    <mergeCell ref="A47:B47"/>
    <mergeCell ref="C47:E47"/>
    <mergeCell ref="A54:C54"/>
    <mergeCell ref="A55:B55"/>
    <mergeCell ref="C55:E55"/>
    <mergeCell ref="A58:B58"/>
    <mergeCell ref="A27:B27"/>
    <mergeCell ref="C27:E27"/>
    <mergeCell ref="A39:B39"/>
    <mergeCell ref="A40:B40"/>
    <mergeCell ref="C40:E40"/>
    <mergeCell ref="A46:B46"/>
    <mergeCell ref="A73:B73"/>
    <mergeCell ref="C73:E73"/>
    <mergeCell ref="A78:B78"/>
    <mergeCell ref="C78:E78"/>
    <mergeCell ref="A82:B82"/>
    <mergeCell ref="A59:B59"/>
    <mergeCell ref="C59:E59"/>
    <mergeCell ref="A68:B68"/>
    <mergeCell ref="A69:B69"/>
    <mergeCell ref="C69:E69"/>
    <mergeCell ref="A72:C72"/>
    <mergeCell ref="A77:C77"/>
    <mergeCell ref="A96:B96"/>
    <mergeCell ref="C96:E96"/>
    <mergeCell ref="A99:B99"/>
    <mergeCell ref="A100:B100"/>
    <mergeCell ref="A105:C105"/>
    <mergeCell ref="A83:B83"/>
    <mergeCell ref="C83:E83"/>
    <mergeCell ref="A89:B89"/>
    <mergeCell ref="A90:B90"/>
    <mergeCell ref="C90:E90"/>
    <mergeCell ref="A95:B95"/>
    <mergeCell ref="A120:B120"/>
    <mergeCell ref="A121:B121"/>
    <mergeCell ref="C121:E121"/>
    <mergeCell ref="A127:C127"/>
    <mergeCell ref="A128:B128"/>
    <mergeCell ref="A132:B132"/>
    <mergeCell ref="A106:B106"/>
    <mergeCell ref="A109:B109"/>
    <mergeCell ref="A110:B110"/>
    <mergeCell ref="C110:E110"/>
    <mergeCell ref="A114:B114"/>
    <mergeCell ref="A115:B115"/>
    <mergeCell ref="A145:C145"/>
    <mergeCell ref="B147:AH147"/>
    <mergeCell ref="A157:B157"/>
    <mergeCell ref="A160:B160"/>
    <mergeCell ref="A163:B163"/>
    <mergeCell ref="A166:B166"/>
    <mergeCell ref="A133:B133"/>
    <mergeCell ref="C133:E133"/>
    <mergeCell ref="A137:C137"/>
    <mergeCell ref="A138:B138"/>
    <mergeCell ref="C138:E138"/>
    <mergeCell ref="A142:C142"/>
    <mergeCell ref="A184:B184"/>
    <mergeCell ref="A186:B186"/>
    <mergeCell ref="A194:B194"/>
    <mergeCell ref="A196:B196"/>
    <mergeCell ref="A198:C198"/>
    <mergeCell ref="A170:B170"/>
    <mergeCell ref="A172:B172"/>
    <mergeCell ref="A175:B175"/>
    <mergeCell ref="A177:B177"/>
    <mergeCell ref="A179:B179"/>
    <mergeCell ref="A182:B182"/>
  </mergeCells>
  <printOptions horizontalCentered="1"/>
  <pageMargins left="0.39370078740157483" right="0.39370078740157483" top="0.98425196850393704" bottom="0.39370078740157483" header="0.19685039370078741" footer="0.51181102362204722"/>
  <pageSetup paperSize="9" scale="35" firstPageNumber="24" fitToHeight="8" orientation="landscape" useFirstPageNumber="1" horizontalDpi="300" verticalDpi="300" r:id="rId1"/>
  <headerFooter>
    <oddHeader>&amp;C&amp;"Times New Roman,обычный"&amp;14&amp;P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313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13.05.2025 изм. ст-сти объектов</vt:lpstr>
      <vt:lpstr>'13.05.2025 изм. ст-сти объектов'!Z_D9A49370_59EF_4DF5_B20D_A46D1CBDF607_.wvu.PrintTitles</vt:lpstr>
      <vt:lpstr>'13.05.2025 изм. ст-сти объектов'!Заголовки_для_печати</vt:lpstr>
      <vt:lpstr>'13.05.2025 изм. ст-сти объектов'!Область_печати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Шеховцова</dc:creator>
  <dc:description/>
  <cp:lastModifiedBy>Шеховцова</cp:lastModifiedBy>
  <cp:revision>29</cp:revision>
  <cp:lastPrinted>2025-05-13T12:49:14Z</cp:lastPrinted>
  <dcterms:created xsi:type="dcterms:W3CDTF">2023-06-29T08:05:20Z</dcterms:created>
  <dcterms:modified xsi:type="dcterms:W3CDTF">2025-05-13T12:49:27Z</dcterms:modified>
  <dc:language>ru-RU</dc:language>
</cp:coreProperties>
</file>